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I:\Projects\3001\3001.853.00 IA, State of - ISWMM Wetlands Chapter\Text\01 Planning\1.1 Master Planning Reports\ISWMM Wetland Chapter Files\Spreadsheets_Calcs\"/>
    </mc:Choice>
  </mc:AlternateContent>
  <xr:revisionPtr revIDLastSave="0" documentId="13_ncr:1_{1191B178-4E7C-48B6-92CF-0F6FCB12ABD6}" xr6:coauthVersionLast="45" xr6:coauthVersionMax="45" xr10:uidLastSave="{00000000-0000-0000-0000-000000000000}"/>
  <workbookProtection workbookAlgorithmName="SHA-512" workbookHashValue="+bK5KTO9YPYye4A5rxc/Rpi4zDWgb71xO6oWQFPBOhX29urV5JmOZox+dLHJB7l3sta5s6EW9gEU1cIL0EgJfQ==" workbookSaltValue="DE/gd9kTrw0rO6F7XC+BbA==" workbookSpinCount="100000" lockStructure="1"/>
  <bookViews>
    <workbookView xWindow="-120" yWindow="-120" windowWidth="29040" windowHeight="17640" xr2:uid="{00000000-000D-0000-FFFF-FFFF0000000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Screening'!$A$1:$J$73</definedName>
    <definedName name="_xlnm.Print_Area" localSheetId="2">'CL_2 - Design Summary'!$A$1:$I$72</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Volumes'!$A$1:$I$68</definedName>
    <definedName name="_xlnm.Print_Area" localSheetId="7">'Step 9 - Results'!$A$1:$G$43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B19" i="10"/>
  <c r="I24" i="10" l="1"/>
  <c r="F24" i="10" s="1"/>
  <c r="E24" i="10" l="1"/>
  <c r="D24" i="10"/>
  <c r="G43" i="8" l="1"/>
  <c r="I68" i="2"/>
  <c r="F51" i="7"/>
  <c r="H47" i="5"/>
  <c r="G52" i="4"/>
  <c r="I72" i="10"/>
  <c r="E65" i="2"/>
  <c r="F54" i="10"/>
  <c r="H53" i="10"/>
  <c r="E40" i="10" l="1"/>
  <c r="E58" i="2"/>
  <c r="E33" i="10" s="1"/>
  <c r="S39" i="5"/>
  <c r="B39" i="5" s="1"/>
  <c r="S44" i="5" l="1"/>
  <c r="S43" i="5"/>
  <c r="B43" i="5" s="1"/>
  <c r="S42" i="5"/>
  <c r="B42" i="5" s="1"/>
  <c r="S41" i="5"/>
  <c r="B41" i="5" s="1"/>
  <c r="S40" i="5"/>
  <c r="B40" i="5" s="1"/>
  <c r="F37" i="5" l="1"/>
  <c r="B37" i="5"/>
  <c r="B13" i="8" s="1"/>
  <c r="B18" i="10" s="1"/>
  <c r="E19" i="2"/>
  <c r="E18" i="2"/>
  <c r="E17" i="2"/>
  <c r="E16" i="2"/>
  <c r="E15" i="2"/>
  <c r="D15" i="2"/>
  <c r="F15" i="2" s="1"/>
  <c r="D16" i="2"/>
  <c r="F16" i="2" s="1"/>
  <c r="D17" i="2"/>
  <c r="F17" i="2" s="1"/>
  <c r="D18" i="2"/>
  <c r="D19" i="2"/>
  <c r="F19" i="2" s="1"/>
  <c r="D20" i="2"/>
  <c r="D22" i="2"/>
  <c r="D21" i="2"/>
  <c r="H57" i="10"/>
  <c r="B17" i="10"/>
  <c r="C44" i="5"/>
  <c r="C38" i="5"/>
  <c r="C39" i="5"/>
  <c r="C40" i="5"/>
  <c r="C41" i="5"/>
  <c r="C42" i="5"/>
  <c r="C43" i="5"/>
  <c r="C37" i="5"/>
  <c r="B15" i="8"/>
  <c r="B16" i="8"/>
  <c r="B17" i="8"/>
  <c r="B18" i="8"/>
  <c r="B19" i="8"/>
  <c r="B44" i="5"/>
  <c r="B20" i="8" s="1"/>
  <c r="D39" i="5"/>
  <c r="A34" i="5"/>
  <c r="B21" i="10" l="1"/>
  <c r="F13" i="8"/>
  <c r="B27" i="8" s="1"/>
  <c r="D27" i="8" s="1"/>
  <c r="D37" i="5"/>
  <c r="E37" i="5" s="1"/>
  <c r="G37" i="5" s="1"/>
  <c r="F27" i="8"/>
  <c r="F18" i="2"/>
  <c r="E27" i="8" l="1"/>
  <c r="G27" i="8" s="1"/>
  <c r="H37" i="5"/>
  <c r="D31" i="5"/>
  <c r="S37" i="5" s="1"/>
  <c r="E31" i="5"/>
  <c r="S38" i="5" s="1"/>
  <c r="B38" i="5" s="1"/>
  <c r="B14" i="8" s="1"/>
  <c r="H49" i="10" l="1"/>
  <c r="D7" i="7" l="1"/>
  <c r="D46" i="7"/>
  <c r="D42" i="7"/>
  <c r="D43" i="7"/>
  <c r="D44" i="7"/>
  <c r="D45" i="7"/>
  <c r="D31" i="7"/>
  <c r="D32" i="7"/>
  <c r="D33" i="7"/>
  <c r="B42" i="7"/>
  <c r="B43" i="7"/>
  <c r="B44" i="7"/>
  <c r="B45" i="7"/>
  <c r="B31" i="7"/>
  <c r="B32" i="7"/>
  <c r="B33" i="7"/>
  <c r="D34" i="7" s="1"/>
  <c r="B34" i="7"/>
  <c r="B20" i="7"/>
  <c r="B21" i="7"/>
  <c r="B22" i="7"/>
  <c r="B23" i="7"/>
  <c r="D21" i="7" l="1"/>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I25" i="10"/>
  <c r="F26" i="10"/>
  <c r="E26" i="10"/>
  <c r="D26" i="10"/>
  <c r="I12" i="10"/>
  <c r="I11" i="10"/>
  <c r="H56" i="10"/>
  <c r="H55" i="10"/>
  <c r="I49" i="10"/>
  <c r="E29" i="3"/>
  <c r="G31" i="3"/>
  <c r="A5" i="2"/>
  <c r="D46" i="2"/>
  <c r="D47" i="2"/>
  <c r="D48" i="2"/>
  <c r="D49" i="2"/>
  <c r="D50" i="2"/>
  <c r="A41" i="2"/>
  <c r="A42" i="2" s="1"/>
  <c r="A43" i="2" s="1"/>
  <c r="A44" i="2" s="1"/>
  <c r="A45" i="2" s="1"/>
  <c r="A46" i="2" s="1"/>
  <c r="A47" i="2" s="1"/>
  <c r="A48" i="2" s="1"/>
  <c r="A49" i="2" s="1"/>
  <c r="A50" i="2" s="1"/>
  <c r="F25" i="10" l="1"/>
  <c r="F52" i="10"/>
  <c r="H51" i="10"/>
  <c r="D25" i="10"/>
  <c r="E25" i="10"/>
  <c r="G65" i="2"/>
  <c r="E64" i="2"/>
  <c r="A6" i="2"/>
  <c r="A7" i="2"/>
  <c r="A18" i="2"/>
  <c r="A19" i="2" s="1"/>
  <c r="D23" i="2"/>
  <c r="D24" i="2"/>
  <c r="D25" i="2"/>
  <c r="D26" i="2"/>
  <c r="F26" i="2" s="1"/>
  <c r="E26" i="2"/>
  <c r="D27" i="2"/>
  <c r="E27" i="2"/>
  <c r="F27" i="2"/>
  <c r="D28" i="2"/>
  <c r="E28" i="2"/>
  <c r="F28" i="2"/>
  <c r="D29" i="2"/>
  <c r="F29" i="2" s="1"/>
  <c r="E29" i="2"/>
  <c r="D30" i="2"/>
  <c r="E30" i="2"/>
  <c r="F30" i="2"/>
  <c r="D31" i="2"/>
  <c r="E31" i="2"/>
  <c r="F31" i="2"/>
  <c r="D32" i="2"/>
  <c r="E32" i="2"/>
  <c r="F32" i="2"/>
  <c r="B39" i="2"/>
  <c r="B14" i="2"/>
  <c r="B41" i="2" s="1"/>
  <c r="G64" i="2" l="1"/>
  <c r="E39" i="10"/>
  <c r="G39" i="10" s="1"/>
  <c r="A21" i="2"/>
  <c r="E62" i="2"/>
  <c r="B42" i="2"/>
  <c r="D42" i="2" s="1"/>
  <c r="B43" i="2"/>
  <c r="B44" i="2"/>
  <c r="B45" i="2"/>
  <c r="B46" i="2"/>
  <c r="B40" i="2"/>
  <c r="B16" i="2"/>
  <c r="B17" i="2"/>
  <c r="B18" i="2"/>
  <c r="B19" i="2"/>
  <c r="B15" i="2"/>
  <c r="I19" i="10"/>
  <c r="H19" i="10"/>
  <c r="G19" i="10"/>
  <c r="F19" i="10"/>
  <c r="E19" i="10"/>
  <c r="D19" i="10"/>
  <c r="C5" i="10"/>
  <c r="C3" i="10"/>
  <c r="B2" i="4"/>
  <c r="A22" i="2" l="1"/>
  <c r="B21" i="2"/>
  <c r="E22" i="2" s="1"/>
  <c r="F22" i="2" s="1"/>
  <c r="B20" i="2"/>
  <c r="E20" i="2" s="1"/>
  <c r="F20" i="2" s="1"/>
  <c r="E25" i="2"/>
  <c r="F25" i="2" s="1"/>
  <c r="D45" i="2"/>
  <c r="E23" i="2"/>
  <c r="F23" i="2" s="1"/>
  <c r="E21" i="2"/>
  <c r="F21" i="2" s="1"/>
  <c r="E61" i="2"/>
  <c r="E63" i="2" s="1"/>
  <c r="G15" i="2"/>
  <c r="D43" i="2"/>
  <c r="D44" i="2"/>
  <c r="D40" i="2"/>
  <c r="E40" i="2" s="1"/>
  <c r="D41" i="2"/>
  <c r="B47" i="2"/>
  <c r="B2" i="8"/>
  <c r="B2" i="2"/>
  <c r="B2" i="7"/>
  <c r="B2" i="5"/>
  <c r="G5" i="3"/>
  <c r="F32" i="8"/>
  <c r="F33" i="8"/>
  <c r="F34" i="8"/>
  <c r="D29" i="8"/>
  <c r="D30" i="8"/>
  <c r="D31" i="8"/>
  <c r="D32" i="8"/>
  <c r="D33" i="8"/>
  <c r="D34" i="8"/>
  <c r="D28" i="8"/>
  <c r="E19" i="7"/>
  <c r="F39" i="5"/>
  <c r="F40" i="5"/>
  <c r="F41" i="5"/>
  <c r="F42" i="5"/>
  <c r="F43" i="5"/>
  <c r="F44" i="5"/>
  <c r="F38" i="5"/>
  <c r="D41" i="5"/>
  <c r="E41" i="5" s="1"/>
  <c r="D42" i="5"/>
  <c r="E42" i="5" s="1"/>
  <c r="D43" i="5"/>
  <c r="E43" i="5" s="1"/>
  <c r="D44" i="5"/>
  <c r="E44" i="5" s="1"/>
  <c r="D18" i="10"/>
  <c r="D21" i="10" s="1"/>
  <c r="E18" i="10"/>
  <c r="E21" i="10" s="1"/>
  <c r="F18" i="10"/>
  <c r="F21" i="10" s="1"/>
  <c r="C44" i="4"/>
  <c r="C28" i="4"/>
  <c r="C29" i="4" s="1"/>
  <c r="C13" i="4"/>
  <c r="C14" i="4" s="1"/>
  <c r="G63" i="2" l="1"/>
  <c r="E38" i="10"/>
  <c r="E41" i="2"/>
  <c r="E42" i="2" s="1"/>
  <c r="E43" i="2" s="1"/>
  <c r="E44" i="2" s="1"/>
  <c r="G42" i="5"/>
  <c r="H42" i="5" s="1"/>
  <c r="G43" i="5"/>
  <c r="H43" i="5" s="1"/>
  <c r="G44" i="5"/>
  <c r="E34" i="8" s="1"/>
  <c r="G34" i="8" s="1"/>
  <c r="C45" i="4"/>
  <c r="F44" i="4" s="1"/>
  <c r="C29" i="3"/>
  <c r="E29" i="10" s="1"/>
  <c r="A23" i="2"/>
  <c r="B22" i="2"/>
  <c r="G16" i="2"/>
  <c r="G17" i="2" s="1"/>
  <c r="B48" i="2"/>
  <c r="D40" i="5"/>
  <c r="E40" i="5" s="1"/>
  <c r="G40" i="5" s="1"/>
  <c r="E30" i="8" s="1"/>
  <c r="G30" i="8" s="1"/>
  <c r="D38" i="5"/>
  <c r="E38" i="5" s="1"/>
  <c r="H18" i="10"/>
  <c r="H21" i="10" s="1"/>
  <c r="G41" i="5"/>
  <c r="E31" i="8" s="1"/>
  <c r="G31" i="8" s="1"/>
  <c r="E39" i="5"/>
  <c r="G39" i="5" s="1"/>
  <c r="I18" i="10"/>
  <c r="I21" i="10" s="1"/>
  <c r="G18" i="10"/>
  <c r="G21" i="10" s="1"/>
  <c r="D46" i="4"/>
  <c r="G2" i="4"/>
  <c r="G5" i="10"/>
  <c r="C7" i="5"/>
  <c r="C7" i="8"/>
  <c r="G2" i="5"/>
  <c r="F2" i="8"/>
  <c r="G2" i="2"/>
  <c r="E2" i="7"/>
  <c r="E20" i="7"/>
  <c r="E21" i="7" s="1"/>
  <c r="E22" i="7" s="1"/>
  <c r="E23" i="7" s="1"/>
  <c r="D30" i="4"/>
  <c r="H44" i="5" l="1"/>
  <c r="D47" i="7"/>
  <c r="E32" i="8"/>
  <c r="G32" i="8" s="1"/>
  <c r="G18" i="2"/>
  <c r="G19" i="2" s="1"/>
  <c r="G20" i="2" s="1"/>
  <c r="F15" i="8"/>
  <c r="B29" i="8" s="1"/>
  <c r="C18" i="10"/>
  <c r="C21" i="10" s="1"/>
  <c r="E33" i="8"/>
  <c r="G33" i="8" s="1"/>
  <c r="G38" i="5"/>
  <c r="E28" i="8" s="1"/>
  <c r="G28" i="8" s="1"/>
  <c r="D28" i="5"/>
  <c r="D29" i="5" s="1"/>
  <c r="E28" i="5"/>
  <c r="E29" i="5" s="1"/>
  <c r="G47" i="4"/>
  <c r="F9" i="5" s="1"/>
  <c r="F45" i="4"/>
  <c r="A24" i="2"/>
  <c r="B23" i="2"/>
  <c r="E24" i="2" s="1"/>
  <c r="F24" i="2" s="1"/>
  <c r="F12" i="10"/>
  <c r="H12" i="10" s="1"/>
  <c r="H40" i="5"/>
  <c r="H41" i="5"/>
  <c r="B49" i="2"/>
  <c r="B50" i="2"/>
  <c r="H39" i="5"/>
  <c r="E29" i="8"/>
  <c r="G29" i="8" s="1"/>
  <c r="F18" i="8"/>
  <c r="B32" i="8" s="1"/>
  <c r="F16" i="8"/>
  <c r="B30" i="8" s="1"/>
  <c r="F17" i="8"/>
  <c r="B31" i="8" s="1"/>
  <c r="F14" i="8"/>
  <c r="B28" i="8" s="1"/>
  <c r="F19" i="8"/>
  <c r="B33" i="8" s="1"/>
  <c r="F20" i="8"/>
  <c r="B34" i="8" s="1"/>
  <c r="D47" i="4"/>
  <c r="F7" i="5"/>
  <c r="C5" i="2" l="1"/>
  <c r="B7" i="7"/>
  <c r="B8" i="7" s="1"/>
  <c r="C6" i="2" s="1"/>
  <c r="H38" i="5"/>
  <c r="A25" i="2"/>
  <c r="B24" i="2"/>
  <c r="C12" i="10"/>
  <c r="C11" i="10"/>
  <c r="E45" i="2"/>
  <c r="G21" i="2"/>
  <c r="C8" i="5"/>
  <c r="F8" i="5"/>
  <c r="D10" i="5"/>
  <c r="D9" i="5"/>
  <c r="F28" i="4"/>
  <c r="F29" i="4" s="1"/>
  <c r="A26" i="2" l="1"/>
  <c r="B25" i="2"/>
  <c r="E46" i="2"/>
  <c r="G22" i="2"/>
  <c r="B11" i="7"/>
  <c r="C7" i="2" s="1"/>
  <c r="E60" i="2" s="1"/>
  <c r="D31" i="4"/>
  <c r="G31" i="4"/>
  <c r="E47" i="2" l="1"/>
  <c r="E48" i="2" s="1"/>
  <c r="E49" i="2" s="1"/>
  <c r="E50" i="2" s="1"/>
  <c r="G53" i="2" s="1"/>
  <c r="E53" i="2" s="1"/>
  <c r="G60" i="2"/>
  <c r="E35" i="10"/>
  <c r="G35" i="10" s="1"/>
  <c r="A27" i="2"/>
  <c r="B26" i="2"/>
  <c r="D48" i="7"/>
  <c r="F48" i="7" s="1"/>
  <c r="G23" i="2"/>
  <c r="G24" i="2" s="1"/>
  <c r="G25" i="2" s="1"/>
  <c r="G26" i="2" s="1"/>
  <c r="G27" i="2" s="1"/>
  <c r="G28" i="2" s="1"/>
  <c r="G29" i="2" s="1"/>
  <c r="G30" i="2" s="1"/>
  <c r="G31" i="2" s="1"/>
  <c r="G32" i="2" s="1"/>
  <c r="G52" i="2" s="1"/>
  <c r="E57" i="2" s="1"/>
  <c r="G57" i="2" s="1"/>
  <c r="G40" i="10"/>
  <c r="E37" i="10"/>
  <c r="A28" i="2" l="1"/>
  <c r="B27" i="2"/>
  <c r="E36" i="10"/>
  <c r="E70" i="2"/>
  <c r="E43" i="10"/>
  <c r="A29" i="2" l="1"/>
  <c r="B28" i="2"/>
  <c r="E52" i="2"/>
  <c r="F11" i="10"/>
  <c r="H11" i="10" s="1"/>
  <c r="G38" i="10"/>
  <c r="A30" i="2" l="1"/>
  <c r="B29" i="2"/>
  <c r="E32" i="10"/>
  <c r="G32" i="10" s="1"/>
  <c r="A31" i="2" l="1"/>
  <c r="B30" i="2"/>
  <c r="E54" i="2"/>
  <c r="E42" i="10"/>
  <c r="A32" i="2" l="1"/>
  <c r="B32" i="2" s="1"/>
  <c r="B31" i="2"/>
  <c r="E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C27" authorId="0" shapeId="0" xr:uid="{0A8D3538-DC03-4E57-A6CA-1A8653F295EE}">
      <text>
        <r>
          <rPr>
            <sz val="9"/>
            <color indexed="81"/>
            <rFont val="Tahoma"/>
            <family val="2"/>
          </rPr>
          <t>Example: "Row crop", "Trees", "Impervious", "Lawn", etc.</t>
        </r>
      </text>
    </comment>
    <comment ref="C29" authorId="0" shapeId="0" xr:uid="{493FE101-8884-45CC-A54B-6253D7FD9411}">
      <text>
        <r>
          <rPr>
            <sz val="9"/>
            <color indexed="81"/>
            <rFont val="Tahoma"/>
            <family val="2"/>
          </rPr>
          <t xml:space="preserve">Populates when sheet DE_1 is completed
May be manually entered at right
</t>
        </r>
      </text>
    </comment>
    <comment ref="E31" authorId="0" shapeId="0" xr:uid="{FDE20617-1CCA-4852-A3E1-4055A7E8E739}">
      <text>
        <r>
          <rPr>
            <sz val="9"/>
            <color indexed="81"/>
            <rFont val="Tahoma"/>
            <family val="2"/>
          </rPr>
          <t xml:space="preserve">Example, 1-2%
</t>
        </r>
      </text>
    </comment>
    <comment ref="E50" authorId="0" shapeId="0" xr:uid="{AB427C58-2F03-41DD-9214-6AFF89B7304F}">
      <text>
        <r>
          <rPr>
            <sz val="9"/>
            <color indexed="81"/>
            <rFont val="Tahoma"/>
            <family val="2"/>
          </rPr>
          <t>Example: Compacted clay, bentonite, etc.</t>
        </r>
      </text>
    </comment>
    <comment ref="D61" authorId="0" shapeId="0" xr:uid="{6E783EA1-DBC8-4818-B7D7-5F848963CBD4}">
      <text>
        <r>
          <rPr>
            <sz val="9"/>
            <color indexed="81"/>
            <rFont val="Tahoma"/>
            <family val="2"/>
          </rPr>
          <t>City or county where local stormwater regulations must be met</t>
        </r>
      </text>
    </comment>
    <comment ref="F62" authorId="0" shapeId="0" xr:uid="{87B501F1-119B-405F-9160-41F5A054AA96}">
      <text>
        <r>
          <rPr>
            <sz val="9"/>
            <color indexed="81"/>
            <rFont val="Tahoma"/>
            <family val="2"/>
          </rPr>
          <t>Example: "Release rates at pre-settlement for similar storm event or 5-yr existing condition, whichever is less."</t>
        </r>
      </text>
    </comment>
    <comment ref="E65" authorId="0" shapeId="0" xr:uid="{1D6938BC-A48E-4222-B241-954C9EFC9F6E}">
      <text>
        <r>
          <rPr>
            <sz val="9"/>
            <color indexed="81"/>
            <rFont val="Tahoma"/>
            <family val="2"/>
          </rPr>
          <t>Is the perimeter buffer met, yes or no?</t>
        </r>
      </text>
    </comment>
    <comment ref="E66" authorId="0" shapeId="0" xr:uid="{D0998F15-8A63-4266-85EB-EA1C81A705AA}">
      <text>
        <r>
          <rPr>
            <sz val="9"/>
            <color indexed="81"/>
            <rFont val="Tahoma"/>
            <family val="2"/>
          </rPr>
          <t>Fill in the distances, or mark "NA"</t>
        </r>
      </text>
    </comment>
    <comment ref="E70" authorId="0" shapeId="0" xr:uid="{D658E970-E0DD-4369-B920-32FB8E02E7E5}">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xr:uid="{77E15F6A-711F-4F0B-B692-11ADC5370892}">
      <text>
        <r>
          <rPr>
            <sz val="9"/>
            <color indexed="81"/>
            <rFont val="Tahoma"/>
            <family val="2"/>
          </rPr>
          <t>These cells will pull data from Step 9 spreadsheet.  It is recommended to complete that sheet.
Data can be entered manually at right.</t>
        </r>
      </text>
    </comment>
    <comment ref="I24" authorId="0" shapeId="0" xr:uid="{B7429622-646D-4F27-AB71-6C99202AD751}">
      <text>
        <r>
          <rPr>
            <sz val="9"/>
            <color indexed="81"/>
            <rFont val="Tahoma"/>
            <family val="2"/>
          </rPr>
          <t>Will pull from Step 5-7 sheet or manually enter at right.</t>
        </r>
      </text>
    </comment>
    <comment ref="E29" authorId="0" shapeId="0" xr:uid="{C0985DFB-9C13-4E04-B7C1-9D8CBFF95C86}">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I16" authorId="0" shapeId="0" xr:uid="{CBB65ABA-B58D-49B1-9234-4F7068B1C8B5}">
      <text>
        <r>
          <rPr>
            <sz val="9"/>
            <color indexed="81"/>
            <rFont val="Tahoma"/>
            <family val="2"/>
          </rPr>
          <t>If a local jurisdiction sets limits on what CN is to be used for natural conditions, it may be entered here.</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I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09393215-B1F6-493F-B897-725C489636D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I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7" authorId="0" shapeId="0" xr:uid="{B95EFC90-5CF7-48EE-9197-E162953CED6D}">
      <text>
        <r>
          <rPr>
            <sz val="9"/>
            <color indexed="81"/>
            <rFont val="Tahoma"/>
            <family val="2"/>
          </rPr>
          <t>These values automatically calculate if sheet DE_1 is completed.</t>
        </r>
      </text>
    </comment>
    <comment ref="G18" authorId="0" shapeId="0" xr:uid="{2CE84533-6EE3-4F49-BEDB-9189C4F94832}">
      <text>
        <r>
          <rPr>
            <sz val="9"/>
            <color indexed="81"/>
            <rFont val="Tahoma"/>
            <family val="2"/>
          </rPr>
          <t>Enter data from the WQv TR-55 model (remember to use adjusted CNs for this event)</t>
        </r>
      </text>
    </comment>
    <comment ref="B19" authorId="0" shapeId="0" xr:uid="{E3E80E82-B33A-4E63-8178-301696E83CC3}">
      <text>
        <r>
          <rPr>
            <sz val="9"/>
            <color indexed="81"/>
            <rFont val="Tahoma"/>
            <family val="2"/>
          </rPr>
          <t xml:space="preserve">Enter other data from TR-55 model for all other events (1-yr thru 100-yr).
</t>
        </r>
      </text>
    </comment>
    <comment ref="G19" authorId="0" shapeId="0" xr:uid="{D3D8BAE7-CF9B-4C56-9D97-B4C940AADA7F}">
      <text>
        <r>
          <rPr>
            <sz val="9"/>
            <color indexed="81"/>
            <rFont val="Tahoma"/>
            <family val="2"/>
          </rPr>
          <t>Values for developed rates and volumes are TR-55 model output for runoff that enters or falls within the constructed wetland.</t>
        </r>
      </text>
    </comment>
    <comment ref="B37"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xr:uid="{77819505-698A-40D7-990E-C79554310608}">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27CABC90-CB2C-44F1-81FA-D418E9588CE7}">
      <text>
        <r>
          <rPr>
            <sz val="9"/>
            <color indexed="81"/>
            <rFont val="Tahoma"/>
            <family val="2"/>
          </rPr>
          <t>Cells will calculate based on data entered on sheet DE_1.</t>
        </r>
      </text>
    </comment>
    <comment ref="H7" authorId="0" shapeId="0" xr:uid="{FC853E4C-3F78-4FDE-A0B3-461253C59320}">
      <text>
        <r>
          <rPr>
            <sz val="9"/>
            <color indexed="81"/>
            <rFont val="Tahoma"/>
            <family val="2"/>
          </rPr>
          <t>Data may be entered manually here.</t>
        </r>
      </text>
    </comment>
    <comment ref="D9" authorId="0" shapeId="0" xr:uid="{48E7B61E-6CED-4856-AA9C-28D28BC93C19}">
      <text>
        <r>
          <rPr>
            <sz val="9"/>
            <color indexed="81"/>
            <rFont val="Tahoma"/>
            <family val="2"/>
          </rPr>
          <t>Example: "Vegetative buffer strip, etc."</t>
        </r>
      </text>
    </comment>
    <comment ref="B18" authorId="0" shapeId="0" xr:uid="{5315F026-00E4-4424-A707-3CC3830FCCA7}">
      <text>
        <r>
          <rPr>
            <sz val="9"/>
            <color indexed="81"/>
            <rFont val="Tahoma"/>
            <family val="2"/>
          </rPr>
          <t>Enter stage-area information for each forebay here…</t>
        </r>
      </text>
    </comment>
    <comment ref="B29" authorId="0" shapeId="0" xr:uid="{ED2CC6A0-3E0B-4515-A1F4-EE258169E362}">
      <text>
        <r>
          <rPr>
            <sz val="9"/>
            <color indexed="81"/>
            <rFont val="Tahoma"/>
            <family val="2"/>
          </rPr>
          <t>Enter stage-area information for each forebay here…</t>
        </r>
      </text>
    </comment>
    <comment ref="B40" authorId="0" shapeId="0" xr:uid="{1527ED4C-5FCF-41AA-BC74-DDFBF4218D37}">
      <text>
        <r>
          <rPr>
            <sz val="9"/>
            <color indexed="81"/>
            <rFont val="Tahoma"/>
            <family val="2"/>
          </rPr>
          <t>Enter stage-area information for each forebay here…</t>
        </r>
      </text>
    </comment>
    <comment ref="D47" authorId="0" shapeId="0" xr:uid="{BB875381-10F5-4935-9BAA-85B0908A6805}">
      <text>
        <r>
          <rPr>
            <sz val="9"/>
            <color indexed="81"/>
            <rFont val="Tahoma"/>
            <family val="2"/>
          </rPr>
          <t>Enter stage-storage data above to calculate this value</t>
        </r>
      </text>
    </comment>
    <comment ref="H47" authorId="0" shapeId="0" xr:uid="{2DDE57BF-8B29-4123-8220-56FF2E169A2B}">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45B903CB-C3C9-4A2B-AD33-D3CF1E3319BB}">
      <text>
        <r>
          <rPr>
            <sz val="9"/>
            <color indexed="81"/>
            <rFont val="Tahoma"/>
            <family val="2"/>
          </rPr>
          <t>"MANUAL" will appear here if data is manually entered to override data taken from Step 3 and Step 4 spreadsheets.</t>
        </r>
      </text>
    </comment>
    <comment ref="G5" authorId="0" shapeId="0" xr:uid="{A08B07B3-6174-4FEA-9F99-C3740F0120E8}">
      <text>
        <r>
          <rPr>
            <sz val="9"/>
            <color indexed="81"/>
            <rFont val="Tahoma"/>
            <family val="2"/>
          </rPr>
          <t xml:space="preserve">Enter the normal water surface elevation here.
</t>
        </r>
      </text>
    </comment>
    <comment ref="L5" authorId="0" shapeId="0" xr:uid="{B1D8E176-2708-4AB1-8787-BE8FA146C16B}">
      <text>
        <r>
          <rPr>
            <sz val="9"/>
            <color indexed="81"/>
            <rFont val="Tahoma"/>
            <family val="2"/>
          </rPr>
          <t>Data may be entered here manually, if data from Step 3 and Step 4 spreadsheet calculations is not to be used.</t>
        </r>
      </text>
    </comment>
    <comment ref="I11" authorId="0" shapeId="0" xr:uid="{249FEC82-C9C9-4F1D-92C3-B0FA5515A01A}">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xr:uid="{E54F5ABA-9E65-45FD-9A03-D1B8991BAEF1}">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xr:uid="{C3CAADD0-E25C-4402-A742-44C7735C401D}">
      <text>
        <r>
          <rPr>
            <sz val="9"/>
            <color indexed="81"/>
            <rFont val="Tahoma"/>
            <family val="2"/>
          </rPr>
          <t xml:space="preserve">Enter contour area information derived from grading plan here.  Cells may be left blank as needed.
</t>
        </r>
      </text>
    </comment>
    <comment ref="C39" authorId="0" shapeId="0" xr:uid="{53C8C5BD-C8D1-4661-AAE4-F11E818EB28E}">
      <text>
        <r>
          <rPr>
            <sz val="9"/>
            <color indexed="81"/>
            <rFont val="Tahoma"/>
            <family val="2"/>
          </rPr>
          <t>Enter contour area information derived from grading plan here.  Cells may be left blank as needed.</t>
        </r>
      </text>
    </comment>
    <comment ref="A40" authorId="0" shapeId="0" xr:uid="{CD2A230A-7B97-40E0-B9B9-7A61F8660F44}">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C27"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<sst xmlns="http://schemas.openxmlformats.org/spreadsheetml/2006/main" count="565" uniqueCount="331">
  <si>
    <t>Storage Calculation Sheets</t>
  </si>
  <si>
    <t>Elevation</t>
  </si>
  <si>
    <t>Contour Area</t>
  </si>
  <si>
    <t>Inc. Volume</t>
  </si>
  <si>
    <t>Cumulative Volume</t>
  </si>
  <si>
    <t>Average Depth</t>
  </si>
  <si>
    <t>Marsh Volume</t>
  </si>
  <si>
    <t>WQv Required</t>
  </si>
  <si>
    <t>of WQv</t>
  </si>
  <si>
    <t>Deep Pool Surface Area</t>
  </si>
  <si>
    <t>Total Pool Surface Area</t>
  </si>
  <si>
    <t>&lt; 25%</t>
  </si>
  <si>
    <t>&lt; 35%</t>
  </si>
  <si>
    <t>Low Marsh Area</t>
  </si>
  <si>
    <t>High Marsh Area</t>
  </si>
  <si>
    <t>Difference in Marsh Areas</t>
  </si>
  <si>
    <t>&lt; 20%</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</si>
  <si>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</si>
  <si>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</si>
  <si>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</si>
  <si>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</si>
  <si>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</si>
  <si>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</si>
  <si>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</si>
  <si>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</si>
  <si>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</si>
  <si>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</si>
  <si>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</si>
  <si>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HSG of Soils at Wetland Site:</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</si>
  <si>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</si>
  <si>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</si>
  <si>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</si>
  <si>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</si>
  <si>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</si>
  <si>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</si>
  <si>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</si>
  <si>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</si>
  <si>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</si>
  <si>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</si>
  <si>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</si>
  <si>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</si>
  <si>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</si>
  <si>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</si>
  <si>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</si>
  <si>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</si>
  <si>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</si>
  <si>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</si>
  <si>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</si>
  <si>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Initial Planning - Stormwater Wetland Elements</t>
  </si>
  <si>
    <t>Pretreatment</t>
  </si>
  <si>
    <t>forebay</t>
  </si>
  <si>
    <t>vegetative buffer</t>
  </si>
  <si>
    <t>grass swale</t>
  </si>
  <si>
    <t>Microtopography</t>
  </si>
  <si>
    <t>Pool zones</t>
  </si>
  <si>
    <t>max depth</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</si>
  <si>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</si>
  <si>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</si>
  <si>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</si>
  <si>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</si>
  <si>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</si>
  <si>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</si>
  <si>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</si>
  <si>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</si>
  <si>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</si>
  <si>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</si>
  <si>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</si>
  <si>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</si>
  <si>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</si>
  <si>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</si>
  <si>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</si>
  <si>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</si>
  <si>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</si>
  <si>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</si>
  <si>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</si>
  <si>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</si>
  <si>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</si>
  <si>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</si>
  <si>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</si>
  <si>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</si>
  <si>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</si>
  <si>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</si>
  <si>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</si>
  <si>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</si>
  <si>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</si>
  <si>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</si>
  <si>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</si>
  <si>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</si>
  <si>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</si>
  <si>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</si>
  <si>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</si>
  <si>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</si>
  <si>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</si>
  <si>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</si>
  <si>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</si>
  <si>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</si>
  <si>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</si>
  <si>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</si>
  <si>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</si>
  <si>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</si>
  <si>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</si>
  <si>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</si>
  <si>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</si>
  <si>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</si>
  <si>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</si>
  <si>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</si>
  <si>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</si>
  <si>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</si>
  <si>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</si>
  <si>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</si>
  <si>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</si>
  <si>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</si>
  <si>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watershed-inches</t>
  </si>
  <si>
    <t>Design Review Checklist for Stormwater Wetlands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</si>
  <si>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</si>
  <si>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</si>
  <si>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</si>
  <si>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</si>
  <si>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</si>
  <si>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</si>
  <si>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</si>
  <si>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</si>
  <si>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</si>
  <si>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</si>
  <si>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</si>
  <si>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</si>
  <si>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</si>
  <si>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</si>
  <si>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</si>
  <si>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</si>
  <si>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</si>
  <si>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</si>
  <si>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</si>
  <si>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</si>
  <si>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Wetland Permanent Pool Storage</t>
  </si>
  <si>
    <t>WQv Remaining</t>
  </si>
  <si>
    <t>Temporary Storage (Above Permanent Pool)</t>
  </si>
  <si>
    <t>of WQv (&gt;25%)</t>
  </si>
  <si>
    <t>of perm. pool (&lt; 20%)</t>
  </si>
  <si>
    <t>of perm. pool (&lt; 25%)</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</si>
  <si>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</si>
  <si>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</si>
  <si>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</si>
  <si>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</si>
  <si>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</si>
  <si>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</si>
  <si>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</si>
  <si>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</si>
  <si>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</si>
  <si>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</si>
  <si>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</si>
  <si>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</si>
  <si>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</si>
  <si>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</si>
  <si>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</si>
  <si>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</si>
  <si>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</si>
  <si>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</si>
  <si>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</si>
  <si>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</si>
  <si>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</si>
  <si>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Stormwater Wetland Performance Table</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</si>
  <si>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</si>
  <si>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</si>
  <si>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</si>
  <si>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</si>
  <si>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</si>
  <si>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</si>
  <si>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</si>
  <si>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</si>
  <si>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</si>
  <si>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</si>
  <si>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</si>
  <si>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</si>
  <si>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</si>
  <si>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</si>
  <si>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</si>
  <si>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Project Name</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</si>
  <si>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</si>
  <si>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</si>
  <si>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</si>
  <si>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</si>
  <si>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</si>
  <si>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</si>
  <si>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</si>
  <si>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</si>
  <si>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</si>
  <si>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</si>
  <si>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</si>
  <si>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</si>
  <si>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</si>
  <si>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</si>
  <si>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</si>
  <si>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</si>
  <si>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</si>
  <si>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</si>
  <si>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</si>
  <si>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</si>
  <si>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</si>
  <si>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</si>
  <si>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</si>
  <si>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</si>
  <si>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</si>
  <si>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</si>
  <si>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</si>
  <si>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</si>
  <si>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</si>
  <si>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</si>
  <si>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Wetland Metrics</t>
  </si>
  <si>
    <t>&gt; 25%</t>
  </si>
  <si>
    <t>of perm. pool</t>
  </si>
  <si>
    <t>Is Extended Detention (ED) being used to meet WQv requirements?</t>
  </si>
  <si>
    <t>Wetland Topography</t>
  </si>
  <si>
    <t>Average straight line distance from inlet(s) to outlet</t>
  </si>
  <si>
    <t>Average flow path through wetland from inlet(s) to outlet</t>
  </si>
  <si>
    <t>Ratio</t>
  </si>
  <si>
    <t>Max side slope interior berms</t>
  </si>
  <si>
    <t>Max side slope perimeter below CPv elevation</t>
  </si>
  <si>
    <t>Safety bench of 10' to any water depth of 2' or more</t>
  </si>
  <si>
    <t>acre-feet</t>
  </si>
  <si>
    <t>Total Storage</t>
  </si>
  <si>
    <t>**based on permanent pool footprint area</t>
  </si>
  <si>
    <t>Wetland to Watershed Ratio**</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</si>
  <si>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</si>
  <si>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</si>
  <si>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</si>
  <si>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</si>
  <si>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</si>
  <si>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</si>
  <si>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</si>
  <si>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</si>
  <si>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</si>
  <si>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</si>
  <si>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</si>
  <si>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</si>
  <si>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</si>
  <si>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</si>
  <si>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</si>
  <si>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</si>
  <si>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</si>
  <si>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Provide information in colored blank fields below (other information populates from data entry sheets)</t>
  </si>
  <si>
    <t>Hydrology Data Entry Sheet</t>
  </si>
  <si>
    <t>Pretreatment Data Entry Sheet</t>
  </si>
  <si>
    <t>Stage-Storage Data Entry Sheet</t>
  </si>
  <si>
    <t>Routing Results Data Entry Sheet</t>
  </si>
  <si>
    <t>Stormwater Wetland Metrics Table</t>
  </si>
  <si>
    <t>Outfall protection calcs</t>
  </si>
  <si>
    <t>Describe local stormwater management requirements</t>
  </si>
  <si>
    <t>Predicted high water elev above normal pool (ft)</t>
  </si>
  <si>
    <t>Difference**</t>
  </si>
  <si>
    <t>** Difference = Contour Area Above - Contour Area Below</t>
  </si>
  <si>
    <t>Designer name</t>
  </si>
  <si>
    <t>Applicant name</t>
  </si>
  <si>
    <t>Below W.S.</t>
  </si>
  <si>
    <t>HI</t>
  </si>
  <si>
    <t>MARSH</t>
  </si>
  <si>
    <t>LO</t>
  </si>
  <si>
    <t>POOL</t>
  </si>
  <si>
    <t>Normal Water Surface Elevation (W.S.)</t>
  </si>
  <si>
    <t>Above W.S.</t>
  </si>
  <si>
    <t>NA</t>
  </si>
  <si>
    <t>acre-feet***</t>
  </si>
  <si>
    <t>Area Check</t>
  </si>
  <si>
    <t>of perm. pool (&lt; 35%)</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</si>
  <si>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</si>
  <si>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</si>
  <si>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</si>
  <si>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</si>
  <si>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</si>
  <si>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</si>
  <si>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</si>
  <si>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</si>
  <si>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</si>
  <si>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</si>
  <si>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</si>
  <si>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</si>
  <si>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</si>
  <si>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</si>
  <si>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</si>
  <si>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</si>
  <si>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</si>
  <si>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</si>
  <si>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</si>
  <si>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</si>
  <si>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Provide project information above and in colored blank fields below</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</si>
  <si>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</si>
  <si>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</si>
  <si>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</si>
  <si>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</si>
  <si>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</si>
  <si>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</si>
  <si>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</si>
  <si>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</si>
  <si>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r>
      <rPr>
        <b/>
        <sz val="9"/>
        <color rgb="FFFF0000"/>
        <rFont val="Arial Narrow"/>
        <family val="2"/>
        <scheme val="minor"/>
      </rPr>
      <t>Red Text = Area in acres</t>
    </r>
    <r>
      <rPr>
        <b/>
        <sz val="9"/>
        <color theme="1"/>
        <rFont val="Arial Narrow"/>
        <family val="2"/>
        <scheme val="minor"/>
      </rPr>
      <t xml:space="preserve">, </t>
    </r>
    <r>
      <rPr>
        <b/>
        <sz val="9"/>
        <color theme="9" tint="-0.249977111117893"/>
        <rFont val="Arial Narrow"/>
        <family val="2"/>
        <scheme val="minor"/>
      </rPr>
      <t>Green Text = CN</t>
    </r>
    <r>
      <rPr>
        <b/>
        <sz val="9"/>
        <color theme="1"/>
        <rFont val="Arial Narrow"/>
        <family val="2"/>
        <scheme val="minor"/>
      </rPr>
      <t xml:space="preserve">, </t>
    </r>
    <r>
      <rPr>
        <b/>
        <sz val="9"/>
        <color rgb="FF0070C0"/>
        <rFont val="Arial Narrow"/>
        <family val="2"/>
        <scheme val="minor"/>
      </rPr>
      <t>Blue Text = Y or N</t>
    </r>
  </si>
  <si>
    <t>Open space / Row Crop CNs</t>
  </si>
  <si>
    <t>Model Output (Flow to Wetland Location)</t>
  </si>
  <si>
    <t>Enter values in colored cells from model data input / output</t>
  </si>
  <si>
    <t>Natural</t>
  </si>
  <si>
    <t>WQv treated by other practices upstream</t>
  </si>
  <si>
    <t>EXAMPLE OF FIGURE FROM SMALL STORM HYDROLOGY SECTION TO BE USED TO DETERMINE (qo/qi)</t>
  </si>
  <si>
    <t>(From ISWMM Small Storm Hydrology Figure)</t>
  </si>
  <si>
    <t>Incremental Volume</t>
  </si>
  <si>
    <t>Iowa Stormwater Wetland Review Checklist</t>
  </si>
  <si>
    <t>CL_1 - Screening / Planning</t>
  </si>
  <si>
    <t>Page 1</t>
  </si>
  <si>
    <t>CL_2 - Design Summary</t>
  </si>
  <si>
    <t>Page 2</t>
  </si>
  <si>
    <t>Enter City or County</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</si>
  <si>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</si>
  <si>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</si>
  <si>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</si>
  <si>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</si>
  <si>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</si>
  <si>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</si>
  <si>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</si>
  <si>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</si>
  <si>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</si>
  <si>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</si>
  <si>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</si>
  <si>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</si>
  <si>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Maintenance path</t>
  </si>
  <si>
    <t>Maintenance drawdown</t>
  </si>
  <si>
    <t>Subsurface pipe at outlet</t>
  </si>
  <si>
    <t>Required WQv Pool Volume</t>
  </si>
  <si>
    <t>Dam Crest Elevation</t>
  </si>
  <si>
    <t>Auxiliary Spillway Crest Elevation</t>
  </si>
  <si>
    <t>Height of dam (measured on downstream face)</t>
  </si>
  <si>
    <t>Auxiliary spillway</t>
  </si>
  <si>
    <t># : 1 slope</t>
  </si>
  <si>
    <t>Iowa Department of Agriculture and Land Stewardship (IDALS) - Issue date: March 8, 2021</t>
  </si>
  <si>
    <t>IDALS: Issue Date: 03/08/2021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</si>
</sst>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27" x14ac:knownFonts="1">
    <font>
      <sz val="11"/>
      <color theme="1"/>
      <name val="Arial Narrow"/>
      <family val="2"/>
      <scheme val="minor"/>
    </font>
    <font>
      <sz val="11"/>
      <color theme="1"/>
      <name val="Arial Narrow"/>
      <family val="2"/>
      <scheme val="minor"/>
    </font>
    <font>
      <sz val="9"/>
      <color theme="1"/>
      <name val="Arial Narrow"/>
      <family val="2"/>
      <scheme val="minor"/>
    </font>
    <font>
      <b/>
      <sz val="11"/>
      <color theme="1"/>
      <name val="Arial Narrow"/>
      <family val="2"/>
      <scheme val="minor"/>
    </font>
    <font>
      <b/>
      <sz val="9"/>
      <color theme="1"/>
      <name val="Arial Narrow"/>
      <family val="2"/>
      <scheme val="minor"/>
    </font>
    <font>
      <i/>
      <sz val="9"/>
      <color theme="1"/>
      <name val="Arial Narrow"/>
      <family val="2"/>
      <scheme val="minor"/>
    </font>
    <font>
      <sz val="10"/>
      <color theme="1"/>
      <name val="Arial Narrow"/>
      <family val="2"/>
      <scheme val="minor"/>
    </font>
    <font>
      <b/>
      <sz val="10"/>
      <color theme="1"/>
      <name val="Arial Narrow"/>
      <family val="2"/>
      <scheme val="minor"/>
    </font>
    <font>
      <b/>
      <u/>
      <sz val="10"/>
      <color theme="1"/>
      <name val="Arial Narrow"/>
      <family val="2"/>
      <scheme val="minor"/>
    </font>
    <font>
      <b/>
      <i/>
      <sz val="10"/>
      <color theme="1"/>
      <name val="Arial Narrow"/>
      <family val="2"/>
      <scheme val="minor"/>
    </font>
    <font>
      <b/>
      <i/>
      <sz val="9"/>
      <color theme="1"/>
      <name val="Arial Narrow"/>
      <family val="2"/>
      <scheme val="minor"/>
    </font>
    <font>
      <sz val="9"/>
      <color indexed="81"/>
      <name val="Tahoma"/>
      <family val="2"/>
    </font>
    <font>
      <sz val="9"/>
      <color theme="8" tint="-0.249977111117893"/>
      <name val="Arial Narrow"/>
      <family val="2"/>
      <scheme val="minor"/>
    </font>
    <font>
      <sz val="11"/>
      <color theme="4"/>
      <name val="Arial Narrow"/>
      <family val="2"/>
      <scheme val="minor"/>
    </font>
    <font>
      <b/>
      <u/>
      <sz val="9"/>
      <color rgb="FFFF0000"/>
      <name val="Arial Narrow"/>
      <family val="2"/>
      <scheme val="minor"/>
    </font>
    <font>
      <b/>
      <u/>
      <sz val="9"/>
      <color rgb="FFC00000"/>
      <name val="Arial Narrow"/>
      <family val="2"/>
      <scheme val="minor"/>
    </font>
    <font>
      <i/>
      <sz val="8"/>
      <color theme="1"/>
      <name val="Arial Narrow"/>
      <family val="2"/>
      <scheme val="minor"/>
    </font>
    <font>
      <sz val="8"/>
      <color theme="1"/>
      <name val="Arial Narrow"/>
      <family val="2"/>
      <scheme val="minor"/>
    </font>
    <font>
      <b/>
      <u/>
      <sz val="9"/>
      <color theme="1"/>
      <name val="Arial Narrow"/>
      <family val="2"/>
      <scheme val="minor"/>
    </font>
    <font>
      <b/>
      <sz val="9"/>
      <color rgb="FFFF0000"/>
      <name val="Arial Narrow"/>
      <family val="2"/>
      <scheme val="minor"/>
    </font>
    <font>
      <b/>
      <sz val="9"/>
      <color theme="9" tint="-0.249977111117893"/>
      <name val="Arial Narrow"/>
      <family val="2"/>
      <scheme val="minor"/>
    </font>
    <font>
      <b/>
      <sz val="9"/>
      <color rgb="FF0070C0"/>
      <name val="Arial Narrow"/>
      <family val="2"/>
      <scheme val="minor"/>
    </font>
    <font>
      <sz val="9"/>
      <color rgb="FFFF0000"/>
      <name val="Arial Narrow"/>
      <family val="2"/>
      <scheme val="minor"/>
    </font>
    <font>
      <sz val="9"/>
      <color theme="9" tint="-0.249977111117893"/>
      <name val="Arial Narrow"/>
      <family val="2"/>
      <scheme val="minor"/>
    </font>
    <font>
      <sz val="9"/>
      <color rgb="FF0070C0"/>
      <name val="Arial Narrow"/>
      <family val="2"/>
      <scheme val="minor"/>
    </font>
    <font>
      <sz val="8"/>
      <color rgb="FFC00000"/>
      <name val="Arial Narrow"/>
      <family val="2"/>
      <scheme val="minor"/>
    </font>
    <font>
      <sz val="9"/>
      <color theme="0" tint="-0.34998626667073579"/>
      <name val="Arial Narrow"/>
      <family val="2"/>
      <scheme val="minor"/>
    </font>
  </fonts>
  <fills count="2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solid">
        <fgColor theme="9" tint="0.39997558519241921"/>
        <bgColor indexed="64"/>
      </patternFill>
    </fill>
    <fill>
      <patternFill patternType="darkUp">
        <fgColor theme="5" tint="0.79998168889431442"/>
        <bgColor auto="1"/>
      </patternFill>
    </fill>
    <fill>
      <patternFill patternType="darkUp">
        <fgColor theme="8" tint="0.79998168889431442"/>
        <bgColor auto="1"/>
      </patternFill>
    </fill>
  </fills>
  <borders count="16">
    <border>
      <left/>
      <right/>
      <top/>
      <bottom/>
      <diagonal/>
    </border>
    <border>
      <left/>
      <right/>
      <top/>
      <bottom style="thin">
        <color indexed="64"/>
      </bottom>
      <diagonal/>
    </border>
    <border>
      <left/>
      <right/>
      <top/>
      <bottom style="thin">
        <color rgb="FFC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C00000"/>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32">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2" fillId="0" borderId="0" xfId="0" applyFont="1" applyProtection="1"/>
    <xf numFmtId="0" fontId="8" fillId="0" borderId="0" xfId="0" applyFont="1"/>
    <xf numFmtId="0" fontId="4" fillId="0" borderId="0" xfId="0" applyFont="1" applyFill="1" applyAlignment="1">
      <alignment horizontal="right"/>
    </xf>
    <xf numFmtId="0" fontId="4" fillId="0" borderId="0" xfId="0" applyFont="1" applyFill="1"/>
    <xf numFmtId="0" fontId="2" fillId="0" borderId="0" xfId="0" applyFont="1" applyFill="1" applyAlignment="1"/>
    <xf numFmtId="0" fontId="4" fillId="0" borderId="0" xfId="0" applyFont="1" applyFill="1" applyAlignment="1"/>
    <xf numFmtId="0" fontId="2" fillId="2" borderId="0" xfId="0" applyFont="1" applyFill="1" applyAlignment="1"/>
    <xf numFmtId="0" fontId="2" fillId="0" borderId="0" xfId="0" applyFont="1" applyFill="1" applyAlignment="1">
      <alignment horizontal="left"/>
    </xf>
    <xf numFmtId="3" fontId="0" fillId="17" borderId="0" xfId="0" applyNumberFormat="1" applyFont="1" applyFill="1" applyProtection="1">
      <protection locked="0"/>
    </xf>
    <xf numFmtId="3" fontId="0" fillId="17" borderId="0" xfId="0" applyNumberFormat="1" applyFont="1" applyFill="1" applyAlignment="1" applyProtection="1">
      <alignment horizontal="center"/>
      <protection locked="0"/>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Fill="1" applyAlignment="1" applyProtection="1">
      <alignment horizontal="center"/>
    </xf>
    <xf numFmtId="2" fontId="2" fillId="0" borderId="0" xfId="0" applyNumberFormat="1" applyFont="1" applyFill="1" applyBorder="1" applyAlignment="1" applyProtection="1">
      <alignment horizontal="center"/>
    </xf>
    <xf numFmtId="2" fontId="2" fillId="0" borderId="2" xfId="0" applyNumberFormat="1" applyFont="1" applyFill="1" applyBorder="1" applyAlignment="1" applyProtection="1">
      <alignment horizontal="center"/>
    </xf>
    <xf numFmtId="3" fontId="2" fillId="20" borderId="0" xfId="0" applyNumberFormat="1" applyFont="1" applyFill="1" applyAlignment="1" applyProtection="1">
      <alignment horizontal="center"/>
      <protection locked="0"/>
    </xf>
    <xf numFmtId="3" fontId="2" fillId="20" borderId="0" xfId="0" applyNumberFormat="1" applyFont="1" applyFill="1" applyBorder="1" applyAlignment="1" applyProtection="1">
      <alignment horizontal="center"/>
      <protection locked="0"/>
    </xf>
    <xf numFmtId="3" fontId="2" fillId="20" borderId="2" xfId="0" applyNumberFormat="1" applyFont="1" applyFill="1" applyBorder="1" applyAlignment="1" applyProtection="1">
      <alignment horizontal="center"/>
      <protection locked="0"/>
    </xf>
    <xf numFmtId="2" fontId="2" fillId="20" borderId="0" xfId="0" applyNumberFormat="1" applyFont="1" applyFill="1" applyBorder="1" applyAlignment="1" applyProtection="1">
      <alignment horizontal="center"/>
      <protection locked="0"/>
    </xf>
    <xf numFmtId="2" fontId="2" fillId="20" borderId="0" xfId="0" applyNumberFormat="1" applyFont="1" applyFill="1" applyAlignment="1" applyProtection="1">
      <alignment horizontal="center"/>
      <protection locked="0"/>
    </xf>
    <xf numFmtId="0" fontId="8" fillId="0" borderId="0" xfId="0" applyFont="1" applyAlignment="1" applyProtection="1"/>
    <xf numFmtId="14" fontId="2" fillId="0" borderId="0" xfId="0" applyNumberFormat="1" applyFont="1" applyAlignment="1" applyProtection="1">
      <alignment horizontal="left"/>
    </xf>
    <xf numFmtId="0" fontId="10" fillId="0" borderId="1" xfId="0" applyFont="1" applyBorder="1" applyProtection="1"/>
    <xf numFmtId="0" fontId="10" fillId="0" borderId="0" xfId="0" applyFont="1" applyProtection="1"/>
    <xf numFmtId="0" fontId="10" fillId="0" borderId="0" xfId="0" applyFont="1" applyAlignment="1" applyProtection="1">
      <alignment horizontal="center"/>
    </xf>
    <xf numFmtId="0" fontId="12" fillId="0" borderId="0" xfId="0" applyFont="1" applyAlignment="1" applyProtection="1">
      <alignment horizontal="right"/>
    </xf>
    <xf numFmtId="3" fontId="2" fillId="0" borderId="0" xfId="0" applyNumberFormat="1" applyFont="1" applyProtection="1"/>
    <xf numFmtId="0" fontId="4" fillId="3" borderId="0" xfId="0" applyFont="1" applyFill="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4" fillId="2" borderId="0" xfId="0" applyFont="1" applyFill="1" applyProtection="1"/>
    <xf numFmtId="0" fontId="2" fillId="2" borderId="0" xfId="0" applyFont="1" applyFill="1" applyProtection="1"/>
    <xf numFmtId="3" fontId="4" fillId="2" borderId="0" xfId="0" applyNumberFormat="1" applyFont="1" applyFill="1" applyProtection="1"/>
    <xf numFmtId="0" fontId="2" fillId="0" borderId="1" xfId="0" applyFont="1" applyBorder="1" applyAlignment="1" applyProtection="1">
      <alignment horizontal="center"/>
    </xf>
    <xf numFmtId="2" fontId="2" fillId="0" borderId="0" xfId="0" applyNumberFormat="1" applyFont="1" applyAlignment="1" applyProtection="1">
      <alignment horizontal="center"/>
    </xf>
    <xf numFmtId="2" fontId="2" fillId="0" borderId="0" xfId="0" applyNumberFormat="1" applyFont="1" applyBorder="1" applyAlignment="1" applyProtection="1">
      <alignment horizontal="center"/>
    </xf>
    <xf numFmtId="3" fontId="2" fillId="0" borderId="0" xfId="0" applyNumberFormat="1" applyFont="1" applyBorder="1" applyAlignment="1" applyProtection="1">
      <alignment horizontal="center"/>
    </xf>
    <xf numFmtId="0" fontId="2" fillId="11" borderId="0" xfId="0" applyFont="1" applyFill="1" applyBorder="1" applyAlignment="1" applyProtection="1">
      <alignment horizontal="center"/>
    </xf>
    <xf numFmtId="2" fontId="2" fillId="0" borderId="2" xfId="0" applyNumberFormat="1" applyFont="1" applyBorder="1" applyAlignment="1" applyProtection="1">
      <alignment horizontal="center"/>
    </xf>
    <xf numFmtId="3" fontId="2" fillId="0" borderId="2" xfId="0" applyNumberFormat="1" applyFont="1" applyBorder="1" applyAlignment="1" applyProtection="1">
      <alignment horizontal="center"/>
    </xf>
    <xf numFmtId="0" fontId="5" fillId="0" borderId="0" xfId="0" applyFont="1" applyAlignment="1" applyProtection="1">
      <alignment horizontal="left"/>
    </xf>
    <xf numFmtId="0" fontId="4" fillId="9" borderId="0" xfId="0" applyFont="1" applyFill="1" applyProtection="1"/>
    <xf numFmtId="0" fontId="2" fillId="9" borderId="0" xfId="0" applyFont="1" applyFill="1" applyProtection="1"/>
    <xf numFmtId="3" fontId="2" fillId="0" borderId="0" xfId="0" applyNumberFormat="1" applyFont="1" applyAlignment="1" applyProtection="1">
      <alignment horizontal="center"/>
    </xf>
    <xf numFmtId="0" fontId="2" fillId="2" borderId="0" xfId="0" applyFont="1" applyFill="1" applyAlignment="1" applyProtection="1">
      <alignment horizontal="right"/>
    </xf>
    <xf numFmtId="167" fontId="2" fillId="2" borderId="0" xfId="0" applyNumberFormat="1" applyFont="1" applyFill="1" applyAlignment="1" applyProtection="1">
      <alignment horizontal="center"/>
    </xf>
    <xf numFmtId="3" fontId="2" fillId="2" borderId="0" xfId="0" applyNumberFormat="1" applyFont="1" applyFill="1" applyAlignment="1" applyProtection="1">
      <alignment horizontal="center"/>
    </xf>
    <xf numFmtId="0" fontId="2" fillId="9" borderId="0" xfId="0" applyFont="1" applyFill="1" applyAlignment="1" applyProtection="1">
      <alignment horizontal="right"/>
    </xf>
    <xf numFmtId="167" fontId="2" fillId="9" borderId="0" xfId="0" applyNumberFormat="1" applyFont="1" applyFill="1" applyAlignment="1" applyProtection="1">
      <alignment horizontal="center"/>
    </xf>
    <xf numFmtId="3" fontId="2" fillId="9" borderId="0" xfId="0" applyNumberFormat="1" applyFont="1" applyFill="1" applyAlignment="1" applyProtection="1">
      <alignment horizontal="center"/>
    </xf>
    <xf numFmtId="0" fontId="2" fillId="0" borderId="0" xfId="0" applyFont="1" applyAlignment="1" applyProtection="1">
      <alignment horizontal="right"/>
    </xf>
    <xf numFmtId="167" fontId="2" fillId="0" borderId="0" xfId="0" applyNumberFormat="1" applyFont="1" applyAlignment="1" applyProtection="1">
      <alignment horizontal="center"/>
    </xf>
    <xf numFmtId="164" fontId="2" fillId="0" borderId="0" xfId="1" applyNumberFormat="1" applyFont="1" applyAlignment="1" applyProtection="1">
      <alignment horizontal="center"/>
    </xf>
    <xf numFmtId="164" fontId="2" fillId="0" borderId="0" xfId="0" applyNumberFormat="1" applyFont="1" applyAlignment="1" applyProtection="1">
      <alignment horizontal="center"/>
    </xf>
    <xf numFmtId="0" fontId="2" fillId="20" borderId="0" xfId="0" applyFont="1" applyFill="1" applyBorder="1" applyAlignment="1" applyProtection="1">
      <alignment horizontal="center"/>
      <protection locked="0"/>
    </xf>
    <xf numFmtId="0" fontId="2" fillId="20" borderId="0" xfId="0" applyFont="1" applyFill="1" applyAlignment="1" applyProtection="1">
      <alignment horizontal="center"/>
      <protection locked="0"/>
    </xf>
    <xf numFmtId="0" fontId="2" fillId="20" borderId="0" xfId="0" applyFont="1" applyFill="1" applyProtection="1">
      <protection locked="0"/>
    </xf>
    <xf numFmtId="168" fontId="2" fillId="0" borderId="0" xfId="2" applyNumberFormat="1" applyFont="1" applyBorder="1" applyAlignment="1" applyProtection="1">
      <alignment horizontal="right"/>
      <protection locked="0"/>
    </xf>
    <xf numFmtId="168" fontId="2" fillId="0" borderId="1" xfId="2" applyNumberFormat="1" applyFont="1" applyBorder="1" applyAlignment="1" applyProtection="1">
      <alignment horizontal="right"/>
      <protection locked="0"/>
    </xf>
    <xf numFmtId="3" fontId="2" fillId="11" borderId="0" xfId="0" applyNumberFormat="1" applyFont="1" applyFill="1" applyBorder="1" applyAlignment="1" applyProtection="1">
      <alignment horizontal="center"/>
    </xf>
    <xf numFmtId="3" fontId="2" fillId="4" borderId="0" xfId="0" applyNumberFormat="1" applyFont="1" applyFill="1" applyBorder="1" applyAlignment="1" applyProtection="1">
      <alignment horizontal="center"/>
    </xf>
    <xf numFmtId="3" fontId="2" fillId="12" borderId="0" xfId="0" applyNumberFormat="1" applyFont="1" applyFill="1" applyBorder="1" applyAlignment="1" applyProtection="1">
      <alignment horizontal="center"/>
    </xf>
    <xf numFmtId="3" fontId="2" fillId="12" borderId="2" xfId="0" applyNumberFormat="1" applyFont="1" applyFill="1" applyBorder="1" applyAlignment="1" applyProtection="1">
      <alignment horizontal="center"/>
    </xf>
    <xf numFmtId="39" fontId="6" fillId="20" borderId="0" xfId="0" applyNumberFormat="1" applyFont="1" applyFill="1" applyAlignment="1" applyProtection="1">
      <alignment horizontal="center"/>
      <protection locked="0"/>
    </xf>
    <xf numFmtId="3" fontId="6" fillId="20" borderId="0" xfId="0" applyNumberFormat="1" applyFont="1" applyFill="1" applyAlignment="1" applyProtection="1">
      <alignment horizontal="center"/>
      <protection locked="0"/>
    </xf>
    <xf numFmtId="1" fontId="6" fillId="20" borderId="0" xfId="0" applyNumberFormat="1" applyFont="1" applyFill="1" applyAlignment="1" applyProtection="1">
      <alignment horizontal="center"/>
      <protection locked="0"/>
    </xf>
    <xf numFmtId="0" fontId="6" fillId="0" borderId="0" xfId="0" applyFont="1" applyProtection="1"/>
    <xf numFmtId="14" fontId="6" fillId="0" borderId="0" xfId="0" applyNumberFormat="1" applyFont="1" applyAlignment="1" applyProtection="1">
      <alignment horizontal="left"/>
    </xf>
    <xf numFmtId="0" fontId="9" fillId="0" borderId="1" xfId="0" applyFont="1" applyBorder="1" applyProtection="1"/>
    <xf numFmtId="0" fontId="6" fillId="0" borderId="1" xfId="0" applyFont="1" applyBorder="1" applyProtection="1"/>
    <xf numFmtId="0" fontId="6" fillId="0" borderId="0" xfId="0" applyFont="1" applyAlignment="1" applyProtection="1">
      <alignment horizontal="center"/>
    </xf>
    <xf numFmtId="0" fontId="7" fillId="13" borderId="0" xfId="0" applyFont="1" applyFill="1" applyProtection="1"/>
    <xf numFmtId="0" fontId="6" fillId="0" borderId="0" xfId="0" applyFont="1" applyFill="1" applyProtection="1"/>
    <xf numFmtId="2" fontId="6" fillId="0" borderId="0" xfId="0" applyNumberFormat="1" applyFont="1" applyFill="1" applyAlignment="1" applyProtection="1">
      <alignment horizontal="center"/>
    </xf>
    <xf numFmtId="166" fontId="6" fillId="0" borderId="0" xfId="0" applyNumberFormat="1" applyFont="1" applyFill="1" applyAlignment="1" applyProtection="1">
      <alignment horizontal="center"/>
    </xf>
    <xf numFmtId="37" fontId="6" fillId="0" borderId="0" xfId="0" applyNumberFormat="1" applyFont="1" applyFill="1" applyAlignment="1" applyProtection="1">
      <alignment horizontal="center"/>
    </xf>
    <xf numFmtId="1" fontId="6" fillId="0" borderId="0" xfId="0" applyNumberFormat="1" applyFont="1" applyFill="1" applyAlignment="1" applyProtection="1">
      <alignment horizontal="center" wrapText="1"/>
    </xf>
    <xf numFmtId="37" fontId="6" fillId="0" borderId="0" xfId="0" applyNumberFormat="1" applyFont="1" applyFill="1" applyAlignment="1" applyProtection="1">
      <alignment horizontal="center" wrapText="1"/>
    </xf>
    <xf numFmtId="1" fontId="6" fillId="0" borderId="0" xfId="0" applyNumberFormat="1" applyFont="1" applyFill="1" applyAlignment="1" applyProtection="1">
      <alignment horizontal="center"/>
    </xf>
    <xf numFmtId="37" fontId="6" fillId="0" borderId="0" xfId="2" applyNumberFormat="1" applyFont="1" applyFill="1" applyAlignment="1" applyProtection="1">
      <alignment horizontal="center"/>
    </xf>
    <xf numFmtId="0" fontId="6" fillId="0" borderId="1" xfId="0" applyFont="1" applyBorder="1" applyAlignment="1" applyProtection="1">
      <alignment horizontal="center"/>
    </xf>
    <xf numFmtId="2" fontId="6" fillId="0" borderId="1" xfId="0" applyNumberFormat="1" applyFont="1" applyFill="1" applyBorder="1" applyAlignment="1" applyProtection="1">
      <alignment horizontal="center"/>
    </xf>
    <xf numFmtId="166" fontId="6" fillId="0" borderId="1" xfId="0" applyNumberFormat="1" applyFont="1" applyFill="1" applyBorder="1" applyAlignment="1" applyProtection="1">
      <alignment horizontal="center"/>
    </xf>
    <xf numFmtId="37" fontId="6" fillId="0" borderId="1"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39" fontId="6" fillId="0" borderId="0" xfId="0" applyNumberFormat="1" applyFont="1" applyFill="1" applyAlignment="1" applyProtection="1">
      <alignment horizontal="center"/>
    </xf>
    <xf numFmtId="0" fontId="6" fillId="0" borderId="0" xfId="0" applyFont="1" applyAlignment="1" applyProtection="1">
      <alignment horizontal="right"/>
    </xf>
    <xf numFmtId="1" fontId="6" fillId="0" borderId="0" xfId="0" applyNumberFormat="1" applyFont="1" applyAlignment="1" applyProtection="1">
      <alignment horizontal="center"/>
    </xf>
    <xf numFmtId="0" fontId="6" fillId="0" borderId="0" xfId="0" applyFont="1" applyAlignment="1" applyProtection="1">
      <alignment horizontal="center" wrapText="1"/>
    </xf>
    <xf numFmtId="166" fontId="6" fillId="0" borderId="0" xfId="0" applyNumberFormat="1" applyFont="1" applyAlignment="1" applyProtection="1">
      <alignment horizontal="center" wrapText="1"/>
    </xf>
    <xf numFmtId="164" fontId="6" fillId="0" borderId="0" xfId="0" applyNumberFormat="1" applyFont="1" applyAlignment="1" applyProtection="1">
      <alignment horizontal="center"/>
    </xf>
    <xf numFmtId="164" fontId="6" fillId="0" borderId="0" xfId="1" applyNumberFormat="1" applyFont="1" applyAlignment="1" applyProtection="1">
      <alignment horizontal="center"/>
    </xf>
    <xf numFmtId="3" fontId="6" fillId="0" borderId="0" xfId="0" applyNumberFormat="1" applyFont="1" applyAlignment="1" applyProtection="1">
      <alignment horizontal="center"/>
    </xf>
    <xf numFmtId="2" fontId="6" fillId="0" borderId="0" xfId="0" applyNumberFormat="1" applyFont="1" applyAlignment="1" applyProtection="1">
      <alignment horizontal="center"/>
    </xf>
    <xf numFmtId="166" fontId="6" fillId="0" borderId="0" xfId="0" applyNumberFormat="1" applyFont="1" applyAlignment="1" applyProtection="1">
      <alignment horizontal="center"/>
    </xf>
    <xf numFmtId="165" fontId="6" fillId="0" borderId="0" xfId="0" applyNumberFormat="1" applyFont="1" applyAlignment="1" applyProtection="1">
      <alignment horizontal="center"/>
    </xf>
    <xf numFmtId="37" fontId="6" fillId="0" borderId="0" xfId="0" applyNumberFormat="1" applyFont="1" applyAlignment="1" applyProtection="1">
      <alignment horizontal="center"/>
    </xf>
    <xf numFmtId="166" fontId="6" fillId="0" borderId="0" xfId="0" applyNumberFormat="1" applyFont="1" applyProtection="1"/>
    <xf numFmtId="168" fontId="0" fillId="0" borderId="3" xfId="2" applyNumberFormat="1" applyFont="1" applyBorder="1" applyAlignment="1" applyProtection="1">
      <alignment horizontal="center"/>
      <protection locked="0"/>
    </xf>
    <xf numFmtId="0" fontId="2" fillId="0" borderId="0" xfId="0" applyFont="1" applyAlignment="1" applyProtection="1">
      <alignment horizontal="center"/>
    </xf>
    <xf numFmtId="0" fontId="8" fillId="0" borderId="0" xfId="0" applyFont="1" applyAlignment="1" applyProtection="1">
      <alignment horizontal="center"/>
    </xf>
    <xf numFmtId="0" fontId="2" fillId="0" borderId="0" xfId="0" applyFont="1" applyAlignment="1" applyProtection="1">
      <alignment horizontal="left"/>
    </xf>
    <xf numFmtId="2" fontId="4" fillId="20" borderId="0" xfId="0" applyNumberFormat="1" applyFont="1" applyFill="1" applyProtection="1">
      <protection locked="0"/>
    </xf>
    <xf numFmtId="0" fontId="9" fillId="0" borderId="0" xfId="0" applyFont="1" applyProtection="1"/>
    <xf numFmtId="0" fontId="0" fillId="0" borderId="0" xfId="0" applyFont="1" applyProtection="1"/>
    <xf numFmtId="14" fontId="6" fillId="0" borderId="0" xfId="0" applyNumberFormat="1" applyFont="1" applyAlignment="1" applyProtection="1">
      <alignment horizontal="right"/>
    </xf>
    <xf numFmtId="0" fontId="9" fillId="0" borderId="0" xfId="0" applyFont="1" applyAlignment="1" applyProtection="1">
      <alignment horizontal="center"/>
    </xf>
    <xf numFmtId="0" fontId="3" fillId="8" borderId="0" xfId="0" applyFont="1" applyFill="1" applyProtection="1"/>
    <xf numFmtId="0" fontId="0" fillId="8" borderId="0" xfId="0" applyFont="1" applyFill="1" applyProtection="1"/>
    <xf numFmtId="0" fontId="0" fillId="0" borderId="0" xfId="0" applyFont="1" applyAlignment="1" applyProtection="1">
      <alignment horizontal="center"/>
    </xf>
    <xf numFmtId="0" fontId="0" fillId="0" borderId="0" xfId="0" applyFont="1" applyAlignment="1" applyProtection="1">
      <alignment horizontal="right"/>
    </xf>
    <xf numFmtId="3" fontId="0" fillId="0" borderId="0" xfId="0" applyNumberFormat="1" applyFont="1" applyProtection="1"/>
    <xf numFmtId="0" fontId="0" fillId="0" borderId="9" xfId="0" applyFont="1" applyBorder="1" applyProtection="1"/>
    <xf numFmtId="0" fontId="0" fillId="0" borderId="10" xfId="0" applyFont="1" applyBorder="1" applyProtection="1"/>
    <xf numFmtId="0" fontId="0" fillId="0" borderId="0" xfId="0" applyFont="1" applyFill="1" applyAlignment="1" applyProtection="1">
      <alignment horizontal="right"/>
    </xf>
    <xf numFmtId="3"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ont="1" applyFill="1" applyAlignment="1" applyProtection="1">
      <alignment horizontal="center"/>
    </xf>
    <xf numFmtId="0" fontId="3" fillId="8" borderId="0" xfId="0" applyFont="1" applyFill="1" applyAlignment="1" applyProtection="1">
      <alignment horizontal="right"/>
    </xf>
    <xf numFmtId="0" fontId="3" fillId="0" borderId="1" xfId="0" applyFont="1" applyBorder="1" applyAlignment="1" applyProtection="1">
      <alignment horizontal="center"/>
    </xf>
    <xf numFmtId="2" fontId="0" fillId="0" borderId="0" xfId="0" applyNumberFormat="1" applyFont="1" applyFill="1" applyAlignment="1" applyProtection="1">
      <alignment horizontal="center"/>
    </xf>
    <xf numFmtId="3" fontId="0" fillId="0" borderId="0" xfId="0" applyNumberFormat="1" applyFont="1" applyAlignment="1" applyProtection="1">
      <alignment horizontal="center"/>
    </xf>
    <xf numFmtId="164" fontId="0" fillId="0" borderId="0" xfId="1" applyNumberFormat="1" applyFont="1" applyProtection="1"/>
    <xf numFmtId="164" fontId="0" fillId="8" borderId="0" xfId="1" applyNumberFormat="1" applyFont="1" applyFill="1" applyProtection="1"/>
    <xf numFmtId="164" fontId="0" fillId="0" borderId="0" xfId="0" applyNumberFormat="1" applyFont="1" applyProtection="1"/>
    <xf numFmtId="0" fontId="0" fillId="8" borderId="0" xfId="0" applyFont="1" applyFill="1" applyAlignment="1" applyProtection="1">
      <alignment horizontal="center"/>
    </xf>
    <xf numFmtId="2" fontId="0" fillId="0" borderId="0" xfId="0" applyNumberFormat="1" applyFont="1" applyAlignment="1" applyProtection="1">
      <alignment horizontal="center"/>
    </xf>
    <xf numFmtId="0" fontId="0" fillId="0" borderId="0" xfId="0" applyFont="1" applyAlignment="1" applyProtection="1">
      <alignment horizontal="left"/>
    </xf>
    <xf numFmtId="164" fontId="0" fillId="0" borderId="0" xfId="1" applyNumberFormat="1" applyFont="1" applyAlignment="1" applyProtection="1">
      <alignment horizontal="center"/>
    </xf>
    <xf numFmtId="166" fontId="0" fillId="0" borderId="0" xfId="0" applyNumberFormat="1" applyFont="1" applyFill="1" applyAlignment="1" applyProtection="1">
      <alignment horizontal="center"/>
    </xf>
    <xf numFmtId="2" fontId="0" fillId="17" borderId="0" xfId="0" applyNumberFormat="1" applyFont="1" applyFill="1" applyProtection="1">
      <protection locked="0"/>
    </xf>
    <xf numFmtId="166" fontId="0" fillId="17" borderId="0" xfId="0" applyNumberFormat="1" applyFont="1" applyFill="1" applyAlignment="1" applyProtection="1">
      <alignment horizontal="center"/>
      <protection locked="0"/>
    </xf>
    <xf numFmtId="0" fontId="13"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right"/>
    </xf>
    <xf numFmtId="0" fontId="2" fillId="0" borderId="0" xfId="0" applyFont="1" applyFill="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Protection="1"/>
    <xf numFmtId="0" fontId="4" fillId="4" borderId="0" xfId="0" applyFont="1" applyFill="1" applyProtection="1"/>
    <xf numFmtId="0" fontId="2" fillId="4" borderId="0" xfId="0" applyFont="1" applyFill="1" applyProtection="1"/>
    <xf numFmtId="0" fontId="2" fillId="3" borderId="0" xfId="0" applyFont="1" applyFill="1" applyAlignment="1" applyProtection="1">
      <alignment horizontal="center"/>
      <protection locked="0"/>
    </xf>
    <xf numFmtId="0" fontId="2" fillId="0" borderId="0" xfId="0" applyFont="1" applyAlignment="1" applyProtection="1">
      <alignment vertical="center"/>
    </xf>
    <xf numFmtId="0" fontId="2" fillId="0" borderId="3" xfId="0" applyFont="1" applyBorder="1" applyAlignment="1" applyProtection="1">
      <alignment horizontal="center"/>
    </xf>
    <xf numFmtId="0" fontId="12" fillId="0" borderId="0" xfId="0" applyFont="1" applyAlignment="1" applyProtection="1">
      <alignment horizontal="center"/>
    </xf>
    <xf numFmtId="0" fontId="2" fillId="0" borderId="3" xfId="0" applyFont="1" applyBorder="1" applyAlignment="1" applyProtection="1">
      <alignment horizontal="center"/>
      <protection locked="0"/>
    </xf>
    <xf numFmtId="0" fontId="4" fillId="5" borderId="0" xfId="0" applyFont="1" applyFill="1" applyProtection="1"/>
    <xf numFmtId="0" fontId="2" fillId="5" borderId="0" xfId="0" applyFont="1" applyFill="1" applyProtection="1"/>
    <xf numFmtId="0" fontId="2" fillId="2" borderId="0" xfId="0" applyFont="1" applyFill="1" applyAlignment="1" applyProtection="1">
      <alignment horizontal="center"/>
      <protection locked="0"/>
    </xf>
    <xf numFmtId="0" fontId="2" fillId="2" borderId="0" xfId="0" applyFont="1" applyFill="1" applyAlignment="1" applyProtection="1"/>
    <xf numFmtId="14" fontId="2" fillId="0" borderId="0" xfId="0" applyNumberFormat="1" applyFont="1" applyFill="1" applyAlignment="1" applyProtection="1">
      <alignment horizontal="left"/>
    </xf>
    <xf numFmtId="0" fontId="4" fillId="10" borderId="0" xfId="0" applyFont="1" applyFill="1" applyAlignment="1" applyProtection="1"/>
    <xf numFmtId="0" fontId="2" fillId="0" borderId="0" xfId="0" applyFont="1" applyFill="1" applyAlignment="1" applyProtection="1"/>
    <xf numFmtId="0" fontId="4" fillId="4" borderId="0" xfId="0" applyFont="1" applyFill="1" applyAlignment="1" applyProtection="1"/>
    <xf numFmtId="0" fontId="2" fillId="4" borderId="0" xfId="0" applyFont="1" applyFill="1" applyAlignment="1" applyProtection="1"/>
    <xf numFmtId="0" fontId="2" fillId="0" borderId="3" xfId="0" applyFont="1" applyBorder="1" applyProtection="1"/>
    <xf numFmtId="0" fontId="2" fillId="0" borderId="10" xfId="0" applyFont="1" applyBorder="1" applyProtection="1"/>
    <xf numFmtId="0" fontId="4" fillId="0" borderId="0" xfId="0" applyFont="1" applyFill="1" applyAlignment="1" applyProtection="1"/>
    <xf numFmtId="3" fontId="2" fillId="0" borderId="0" xfId="0" applyNumberFormat="1" applyFont="1" applyFill="1" applyAlignment="1" applyProtection="1"/>
    <xf numFmtId="168" fontId="2" fillId="0" borderId="12" xfId="2" applyNumberFormat="1" applyFont="1" applyBorder="1" applyProtection="1">
      <protection locked="0"/>
    </xf>
    <xf numFmtId="168" fontId="2" fillId="0" borderId="13" xfId="2" applyNumberFormat="1" applyFont="1" applyBorder="1" applyProtection="1">
      <protection locked="0"/>
    </xf>
    <xf numFmtId="0" fontId="16" fillId="0" borderId="0" xfId="0" applyFont="1" applyFill="1" applyAlignment="1" applyProtection="1"/>
    <xf numFmtId="0" fontId="17" fillId="0" borderId="0" xfId="0" applyFont="1" applyFill="1" applyAlignment="1" applyProtection="1"/>
    <xf numFmtId="3" fontId="17" fillId="0" borderId="0" xfId="0" applyNumberFormat="1" applyFont="1" applyFill="1" applyAlignment="1" applyProtection="1"/>
    <xf numFmtId="0" fontId="17" fillId="0" borderId="0" xfId="0" applyFont="1" applyProtection="1"/>
    <xf numFmtId="0" fontId="17" fillId="0" borderId="0" xfId="0" applyFont="1" applyAlignment="1" applyProtection="1">
      <alignment horizontal="center"/>
    </xf>
    <xf numFmtId="3" fontId="2" fillId="3" borderId="0" xfId="0" applyNumberFormat="1" applyFont="1" applyFill="1" applyAlignment="1" applyProtection="1">
      <alignment horizontal="center"/>
      <protection locked="0"/>
    </xf>
    <xf numFmtId="0" fontId="4" fillId="0" borderId="1" xfId="0" applyFont="1" applyFill="1" applyBorder="1" applyAlignment="1" applyProtection="1"/>
    <xf numFmtId="0" fontId="4" fillId="0" borderId="1" xfId="0" applyFont="1" applyFill="1" applyBorder="1" applyAlignment="1" applyProtection="1">
      <alignment horizontal="center"/>
    </xf>
    <xf numFmtId="166" fontId="2" fillId="0" borderId="0" xfId="0" applyNumberFormat="1" applyFont="1" applyFill="1" applyAlignment="1" applyProtection="1">
      <alignment horizontal="center"/>
    </xf>
    <xf numFmtId="0" fontId="2" fillId="0" borderId="1" xfId="0" applyFont="1" applyFill="1" applyBorder="1" applyAlignment="1" applyProtection="1"/>
    <xf numFmtId="0" fontId="2" fillId="0" borderId="1" xfId="0" applyFont="1" applyBorder="1" applyProtection="1"/>
    <xf numFmtId="2" fontId="4" fillId="0" borderId="1" xfId="0" applyNumberFormat="1" applyFont="1" applyFill="1" applyBorder="1" applyAlignment="1" applyProtection="1">
      <alignment horizontal="center"/>
    </xf>
    <xf numFmtId="39" fontId="2" fillId="0" borderId="0" xfId="0" applyNumberFormat="1" applyFont="1" applyFill="1" applyAlignment="1" applyProtection="1">
      <alignment horizontal="center"/>
    </xf>
    <xf numFmtId="0" fontId="4" fillId="5" borderId="0" xfId="0" applyFont="1" applyFill="1" applyAlignment="1" applyProtection="1"/>
    <xf numFmtId="0" fontId="2" fillId="5" borderId="0" xfId="0" applyFont="1" applyFill="1" applyAlignment="1" applyProtection="1"/>
    <xf numFmtId="164" fontId="2" fillId="0" borderId="0" xfId="1" applyNumberFormat="1" applyFont="1" applyFill="1" applyAlignment="1" applyProtection="1">
      <alignment horizontal="center"/>
    </xf>
    <xf numFmtId="166" fontId="2" fillId="0" borderId="0" xfId="0" applyNumberFormat="1" applyFont="1" applyAlignment="1" applyProtection="1">
      <alignment horizontal="center"/>
    </xf>
    <xf numFmtId="0" fontId="4" fillId="15" borderId="0" xfId="0" applyFont="1" applyFill="1" applyAlignment="1" applyProtection="1"/>
    <xf numFmtId="0" fontId="2" fillId="9" borderId="0" xfId="0" applyFont="1" applyFill="1" applyAlignment="1" applyProtection="1">
      <alignment horizontal="center"/>
      <protection locked="0"/>
    </xf>
    <xf numFmtId="0" fontId="4" fillId="8" borderId="0" xfId="0" applyFont="1" applyFill="1" applyAlignment="1" applyProtection="1"/>
    <xf numFmtId="0" fontId="4" fillId="0" borderId="0" xfId="0" applyFont="1" applyAlignment="1" applyProtection="1">
      <alignment horizontal="center" wrapText="1"/>
    </xf>
    <xf numFmtId="0" fontId="2" fillId="10" borderId="0" xfId="0" applyFont="1" applyFill="1" applyAlignment="1" applyProtection="1">
      <alignment horizontal="center"/>
      <protection locked="0"/>
    </xf>
    <xf numFmtId="0" fontId="18" fillId="0" borderId="0" xfId="0" applyFont="1" applyProtection="1"/>
    <xf numFmtId="0" fontId="4" fillId="12" borderId="0" xfId="0" applyFont="1" applyFill="1" applyProtection="1"/>
    <xf numFmtId="0" fontId="2" fillId="12" borderId="0" xfId="0" applyFont="1" applyFill="1" applyProtection="1"/>
    <xf numFmtId="0" fontId="4" fillId="0" borderId="1" xfId="0" applyFont="1" applyBorder="1" applyProtection="1"/>
    <xf numFmtId="0" fontId="4" fillId="0" borderId="1" xfId="0" applyFont="1" applyBorder="1" applyAlignment="1" applyProtection="1">
      <alignment horizontal="center"/>
    </xf>
    <xf numFmtId="0" fontId="22" fillId="7" borderId="0" xfId="0" applyFont="1" applyFill="1" applyAlignment="1" applyProtection="1">
      <alignment horizontal="center"/>
      <protection locked="0"/>
    </xf>
    <xf numFmtId="0" fontId="2" fillId="11" borderId="0" xfId="0" applyFont="1" applyFill="1" applyAlignment="1" applyProtection="1">
      <alignment horizontal="center"/>
    </xf>
    <xf numFmtId="165"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4" fillId="14" borderId="0" xfId="0" applyFont="1" applyFill="1" applyProtection="1"/>
    <xf numFmtId="0" fontId="2" fillId="14" borderId="0" xfId="0" applyFont="1" applyFill="1" applyProtection="1"/>
    <xf numFmtId="0" fontId="23" fillId="7" borderId="0" xfId="0" applyFont="1" applyFill="1" applyAlignment="1" applyProtection="1">
      <alignment horizontal="center"/>
      <protection locked="0"/>
    </xf>
    <xf numFmtId="0" fontId="2" fillId="0" borderId="8" xfId="0" applyFont="1" applyBorder="1" applyProtection="1"/>
    <xf numFmtId="0" fontId="2" fillId="0" borderId="9" xfId="0" applyFont="1" applyBorder="1" applyProtection="1"/>
    <xf numFmtId="0" fontId="24" fillId="7" borderId="0" xfId="0" applyFont="1" applyFill="1" applyAlignment="1" applyProtection="1">
      <alignment horizontal="center"/>
      <protection locked="0"/>
    </xf>
    <xf numFmtId="168" fontId="2" fillId="0" borderId="8" xfId="2" applyNumberFormat="1" applyFont="1" applyBorder="1" applyProtection="1">
      <protection locked="0"/>
    </xf>
    <xf numFmtId="0" fontId="2" fillId="2" borderId="0" xfId="0" applyFont="1" applyFill="1" applyAlignment="1" applyProtection="1">
      <alignment horizontal="center"/>
    </xf>
    <xf numFmtId="165" fontId="2" fillId="2" borderId="0" xfId="0" applyNumberFormat="1" applyFont="1" applyFill="1" applyBorder="1" applyAlignment="1" applyProtection="1">
      <alignment horizontal="center"/>
    </xf>
    <xf numFmtId="164" fontId="2" fillId="2" borderId="0" xfId="1" applyNumberFormat="1" applyFont="1" applyFill="1" applyAlignment="1" applyProtection="1">
      <alignment horizontal="center"/>
    </xf>
    <xf numFmtId="3" fontId="2" fillId="2" borderId="0"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4" fillId="6" borderId="0" xfId="0" applyFont="1" applyFill="1" applyProtection="1"/>
    <xf numFmtId="0" fontId="2" fillId="6" borderId="0" xfId="0" applyFont="1" applyFill="1" applyProtection="1"/>
    <xf numFmtId="0" fontId="2" fillId="9" borderId="0" xfId="0" applyFont="1" applyFill="1" applyAlignment="1" applyProtection="1">
      <alignment horizontal="center"/>
    </xf>
    <xf numFmtId="165" fontId="2" fillId="9" borderId="0" xfId="0" applyNumberFormat="1" applyFont="1" applyFill="1" applyBorder="1" applyAlignment="1" applyProtection="1">
      <alignment horizontal="center"/>
    </xf>
    <xf numFmtId="164" fontId="2" fillId="9" borderId="0" xfId="1" applyNumberFormat="1" applyFont="1" applyFill="1" applyAlignment="1" applyProtection="1">
      <alignment horizontal="center"/>
    </xf>
    <xf numFmtId="3" fontId="2" fillId="9" borderId="0" xfId="0" applyNumberFormat="1" applyFont="1" applyFill="1" applyBorder="1" applyAlignment="1" applyProtection="1">
      <alignment horizontal="center"/>
    </xf>
    <xf numFmtId="165" fontId="2" fillId="9" borderId="0" xfId="0" applyNumberFormat="1" applyFont="1" applyFill="1" applyAlignment="1" applyProtection="1">
      <alignment horizontal="center"/>
    </xf>
    <xf numFmtId="0" fontId="16" fillId="0" borderId="0" xfId="0" applyFont="1" applyProtection="1"/>
    <xf numFmtId="0" fontId="7" fillId="8" borderId="0" xfId="0" applyFont="1" applyFill="1" applyProtection="1"/>
    <xf numFmtId="165" fontId="6" fillId="0" borderId="0" xfId="0" applyNumberFormat="1" applyFont="1" applyBorder="1" applyAlignment="1" applyProtection="1">
      <alignment horizontal="right"/>
    </xf>
    <xf numFmtId="3" fontId="6" fillId="0" borderId="0" xfId="0" applyNumberFormat="1" applyFont="1" applyBorder="1" applyAlignment="1" applyProtection="1">
      <alignment horizontal="right"/>
    </xf>
    <xf numFmtId="165" fontId="6" fillId="0" borderId="0" xfId="0" applyNumberFormat="1" applyFont="1" applyProtection="1"/>
    <xf numFmtId="0" fontId="7" fillId="0" borderId="0" xfId="0" applyFont="1" applyFill="1" applyProtection="1"/>
    <xf numFmtId="0" fontId="7" fillId="0" borderId="0" xfId="0" applyFont="1" applyFill="1" applyAlignment="1" applyProtection="1">
      <alignment horizontal="center"/>
    </xf>
    <xf numFmtId="0" fontId="7" fillId="0" borderId="1" xfId="0" applyFont="1" applyBorder="1" applyProtection="1"/>
    <xf numFmtId="0" fontId="6" fillId="0" borderId="1" xfId="0" applyFont="1" applyFill="1" applyBorder="1" applyAlignment="1" applyProtection="1">
      <alignment horizontal="center"/>
    </xf>
    <xf numFmtId="2" fontId="6" fillId="17" borderId="0" xfId="0" applyNumberFormat="1" applyFont="1" applyFill="1" applyAlignment="1" applyProtection="1">
      <alignment horizontal="center"/>
      <protection locked="0"/>
    </xf>
    <xf numFmtId="37" fontId="6" fillId="18" borderId="0" xfId="0" applyNumberFormat="1" applyFont="1" applyFill="1" applyAlignment="1" applyProtection="1">
      <alignment horizontal="center"/>
    </xf>
    <xf numFmtId="37" fontId="6" fillId="19" borderId="0" xfId="0" applyNumberFormat="1" applyFont="1" applyFill="1" applyAlignment="1" applyProtection="1">
      <alignment horizontal="center"/>
    </xf>
    <xf numFmtId="37" fontId="6" fillId="9" borderId="0" xfId="2" applyNumberFormat="1" applyFont="1" applyFill="1" applyAlignment="1" applyProtection="1">
      <alignment horizontal="center"/>
      <protection locked="0"/>
    </xf>
    <xf numFmtId="37" fontId="6" fillId="11" borderId="0" xfId="0" applyNumberFormat="1" applyFont="1" applyFill="1" applyAlignment="1" applyProtection="1">
      <alignment horizontal="center"/>
      <protection locked="0"/>
    </xf>
    <xf numFmtId="37" fontId="6" fillId="2" borderId="0" xfId="0" applyNumberFormat="1" applyFont="1" applyFill="1" applyAlignment="1" applyProtection="1">
      <alignment horizontal="center"/>
      <protection locked="0"/>
    </xf>
    <xf numFmtId="0" fontId="6" fillId="0" borderId="0" xfId="0" applyFont="1" applyFill="1" applyAlignment="1" applyProtection="1">
      <alignment horizontal="right"/>
    </xf>
    <xf numFmtId="0" fontId="6" fillId="16" borderId="0" xfId="0" applyFont="1" applyFill="1" applyAlignment="1" applyProtection="1">
      <alignment horizontal="center"/>
      <protection locked="0"/>
    </xf>
    <xf numFmtId="0" fontId="6" fillId="0" borderId="14" xfId="0" applyFont="1" applyBorder="1" applyAlignment="1" applyProtection="1">
      <alignment horizontal="center"/>
    </xf>
    <xf numFmtId="0" fontId="7" fillId="0" borderId="0" xfId="0" applyFont="1" applyProtection="1"/>
    <xf numFmtId="0" fontId="7" fillId="0" borderId="0" xfId="0" applyFont="1" applyAlignment="1" applyProtection="1">
      <alignment horizontal="center"/>
    </xf>
    <xf numFmtId="0" fontId="2" fillId="0" borderId="12" xfId="0" applyFont="1" applyBorder="1" applyAlignment="1" applyProtection="1">
      <alignment horizontal="center"/>
    </xf>
    <xf numFmtId="168" fontId="2" fillId="0" borderId="13" xfId="2" applyNumberFormat="1" applyFont="1" applyBorder="1" applyAlignment="1" applyProtection="1">
      <alignment horizontal="center"/>
    </xf>
    <xf numFmtId="0" fontId="6" fillId="0" borderId="0" xfId="0" applyFont="1" applyBorder="1" applyAlignment="1" applyProtection="1">
      <alignment horizontal="center"/>
    </xf>
    <xf numFmtId="166" fontId="6" fillId="18" borderId="0" xfId="0" applyNumberFormat="1" applyFont="1" applyFill="1" applyAlignment="1" applyProtection="1">
      <alignment horizontal="center"/>
    </xf>
    <xf numFmtId="166" fontId="6" fillId="19" borderId="0" xfId="0" applyNumberFormat="1" applyFont="1" applyFill="1" applyAlignment="1" applyProtection="1">
      <alignment horizontal="center"/>
    </xf>
    <xf numFmtId="2"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22" borderId="0" xfId="0" applyFont="1" applyFill="1" applyBorder="1" applyAlignment="1" applyProtection="1">
      <alignment horizontal="center"/>
    </xf>
    <xf numFmtId="0" fontId="6" fillId="22" borderId="0" xfId="0" applyFont="1" applyFill="1" applyAlignment="1" applyProtection="1">
      <alignment horizontal="center"/>
    </xf>
    <xf numFmtId="0" fontId="6" fillId="22" borderId="0" xfId="0" applyNumberFormat="1" applyFont="1" applyFill="1" applyBorder="1" applyAlignment="1" applyProtection="1">
      <alignment horizontal="center"/>
    </xf>
    <xf numFmtId="2" fontId="6" fillId="22" borderId="0" xfId="0" applyNumberFormat="1" applyFont="1" applyFill="1" applyAlignment="1" applyProtection="1">
      <alignment horizontal="center"/>
    </xf>
    <xf numFmtId="165" fontId="6" fillId="22" borderId="0" xfId="0" applyNumberFormat="1" applyFont="1" applyFill="1" applyAlignment="1" applyProtection="1">
      <alignment horizontal="center"/>
    </xf>
    <xf numFmtId="37" fontId="6" fillId="22" borderId="0" xfId="0" applyNumberFormat="1" applyFont="1" applyFill="1" applyAlignment="1" applyProtection="1">
      <alignment horizontal="center"/>
    </xf>
    <xf numFmtId="3" fontId="6" fillId="22" borderId="0" xfId="0" applyNumberFormat="1" applyFont="1" applyFill="1" applyAlignment="1" applyProtection="1">
      <alignment horizontal="center"/>
    </xf>
    <xf numFmtId="3" fontId="2" fillId="23" borderId="0" xfId="0" applyNumberFormat="1" applyFont="1" applyFill="1" applyAlignment="1" applyProtection="1">
      <alignment horizontal="center"/>
      <protection locked="0"/>
    </xf>
    <xf numFmtId="0" fontId="6" fillId="20" borderId="0" xfId="0" applyNumberFormat="1" applyFont="1" applyFill="1" applyAlignment="1" applyProtection="1">
      <alignment horizontal="center"/>
      <protection locked="0"/>
    </xf>
    <xf numFmtId="0" fontId="2" fillId="0" borderId="0" xfId="0" applyFont="1" applyAlignment="1" applyProtection="1">
      <alignment horizontal="center"/>
    </xf>
    <xf numFmtId="0" fontId="6" fillId="11" borderId="0" xfId="0" applyNumberFormat="1" applyFont="1" applyFill="1" applyAlignment="1" applyProtection="1">
      <alignment horizontal="center"/>
      <protection locked="0"/>
    </xf>
    <xf numFmtId="0" fontId="6" fillId="2" borderId="0" xfId="0" applyNumberFormat="1" applyFont="1" applyFill="1" applyAlignment="1" applyProtection="1">
      <alignment horizontal="center"/>
      <protection locked="0"/>
    </xf>
    <xf numFmtId="0" fontId="6" fillId="9" borderId="0" xfId="0" applyNumberFormat="1" applyFont="1" applyFill="1" applyAlignment="1" applyProtection="1">
      <alignment horizontal="center"/>
      <protection locked="0"/>
    </xf>
    <xf numFmtId="0" fontId="2" fillId="0" borderId="0" xfId="0" applyFont="1" applyAlignment="1" applyProtection="1">
      <alignment horizontal="center"/>
    </xf>
    <xf numFmtId="168" fontId="6" fillId="0" borderId="0" xfId="2" applyNumberFormat="1" applyFont="1" applyBorder="1" applyAlignment="1" applyProtection="1">
      <alignment horizontal="center"/>
      <protection locked="0"/>
    </xf>
    <xf numFmtId="166" fontId="0" fillId="0" borderId="0" xfId="0" applyNumberFormat="1" applyFont="1" applyAlignment="1" applyProtection="1">
      <alignment horizontal="center"/>
    </xf>
    <xf numFmtId="1" fontId="0" fillId="0" borderId="0" xfId="0" applyNumberFormat="1" applyFont="1" applyAlignment="1" applyProtection="1">
      <alignment horizontal="center"/>
    </xf>
    <xf numFmtId="165" fontId="0" fillId="0" borderId="0" xfId="0" applyNumberFormat="1" applyFont="1" applyAlignment="1" applyProtection="1">
      <alignment horizontal="center"/>
    </xf>
    <xf numFmtId="37" fontId="0" fillId="0" borderId="0" xfId="0" applyNumberFormat="1" applyFont="1" applyAlignment="1" applyProtection="1">
      <alignment horizontal="center"/>
    </xf>
    <xf numFmtId="0" fontId="0" fillId="0" borderId="15" xfId="0" applyFont="1" applyBorder="1" applyProtection="1"/>
    <xf numFmtId="3" fontId="0" fillId="0" borderId="15" xfId="0" applyNumberFormat="1" applyFont="1" applyBorder="1" applyAlignment="1" applyProtection="1">
      <alignment horizontal="center"/>
    </xf>
    <xf numFmtId="0" fontId="2" fillId="0" borderId="0" xfId="0" applyFont="1" applyAlignment="1">
      <alignment horizontal="center"/>
    </xf>
    <xf numFmtId="0" fontId="25" fillId="0" borderId="0" xfId="0" applyFont="1" applyAlignment="1">
      <alignment horizontal="center"/>
    </xf>
    <xf numFmtId="43" fontId="2" fillId="0" borderId="3" xfId="2" applyNumberFormat="1" applyFont="1" applyBorder="1" applyProtection="1">
      <protection locked="0"/>
    </xf>
    <xf numFmtId="164" fontId="2" fillId="0" borderId="0" xfId="1" applyNumberFormat="1" applyFont="1" applyAlignment="1">
      <alignment horizontal="center"/>
    </xf>
    <xf numFmtId="0" fontId="6" fillId="16" borderId="0" xfId="0" applyNumberFormat="1" applyFont="1" applyFill="1" applyAlignment="1" applyProtection="1">
      <alignment horizontal="center"/>
      <protection locked="0"/>
    </xf>
    <xf numFmtId="43" fontId="6" fillId="0" borderId="12" xfId="2" applyNumberFormat="1" applyFont="1" applyBorder="1" applyAlignment="1" applyProtection="1">
      <alignment horizontal="center"/>
      <protection locked="0"/>
    </xf>
    <xf numFmtId="43" fontId="6" fillId="0" borderId="13" xfId="2" applyNumberFormat="1" applyFont="1" applyBorder="1" applyAlignment="1" applyProtection="1">
      <alignment horizontal="center"/>
      <protection locked="0"/>
    </xf>
    <xf numFmtId="0" fontId="26" fillId="0" borderId="0" xfId="0" applyFont="1" applyProtection="1"/>
    <xf numFmtId="49" fontId="2" fillId="3" borderId="0" xfId="0" applyNumberFormat="1" applyFont="1" applyFill="1" applyAlignment="1" applyProtection="1">
      <alignment horizontal="center"/>
      <protection locked="0"/>
    </xf>
    <xf numFmtId="0" fontId="8" fillId="0" borderId="0" xfId="0" applyFont="1" applyAlignment="1">
      <alignment horizontal="center"/>
    </xf>
    <xf numFmtId="0" fontId="7" fillId="0" borderId="0" xfId="0" applyFont="1" applyAlignment="1">
      <alignment horizontal="center"/>
    </xf>
    <xf numFmtId="0" fontId="0" fillId="0" borderId="15" xfId="0" applyFont="1" applyFill="1" applyBorder="1" applyAlignment="1">
      <alignment horizontal="center"/>
    </xf>
    <xf numFmtId="0" fontId="0" fillId="0" borderId="0" xfId="0" applyFont="1" applyFill="1" applyAlignment="1">
      <alignment horizontal="center"/>
    </xf>
    <xf numFmtId="0" fontId="2" fillId="2" borderId="0" xfId="0" applyFont="1" applyFill="1" applyAlignment="1" applyProtection="1">
      <alignment horizontal="left" vertical="top" wrapText="1"/>
      <protection locked="0"/>
    </xf>
    <xf numFmtId="0" fontId="2" fillId="10" borderId="0" xfId="0" applyFont="1" applyFill="1" applyAlignment="1" applyProtection="1">
      <alignment horizontal="left"/>
      <protection locked="0"/>
    </xf>
    <xf numFmtId="0" fontId="2" fillId="3" borderId="0" xfId="0" applyFont="1" applyFill="1" applyAlignment="1" applyProtection="1">
      <alignment horizontal="left"/>
      <protection locked="0"/>
    </xf>
    <xf numFmtId="0" fontId="4" fillId="0" borderId="0" xfId="0" applyFont="1" applyAlignment="1" applyProtection="1">
      <alignment horizontal="right"/>
    </xf>
    <xf numFmtId="0" fontId="2" fillId="2" borderId="0" xfId="0" applyFont="1" applyFill="1" applyAlignment="1" applyProtection="1">
      <alignment horizontal="left"/>
      <protection locked="0"/>
    </xf>
    <xf numFmtId="0" fontId="14" fillId="10" borderId="0" xfId="0" applyFont="1" applyFill="1" applyAlignment="1" applyProtection="1">
      <alignment horizontal="center"/>
    </xf>
    <xf numFmtId="0" fontId="2" fillId="0" borderId="0" xfId="0" applyFont="1" applyAlignment="1" applyProtection="1">
      <alignment horizontal="left" vertical="top" wrapText="1"/>
    </xf>
    <xf numFmtId="0" fontId="8" fillId="0" borderId="0" xfId="0" applyFont="1" applyAlignment="1" applyProtection="1">
      <alignment horizontal="center"/>
    </xf>
    <xf numFmtId="14" fontId="2" fillId="10" borderId="0" xfId="0" applyNumberFormat="1" applyFont="1" applyFill="1" applyAlignment="1" applyProtection="1">
      <alignment horizontal="left"/>
      <protection locked="0"/>
    </xf>
    <xf numFmtId="0" fontId="7" fillId="0" borderId="0" xfId="0" applyFont="1" applyAlignment="1" applyProtection="1">
      <alignment horizontal="center"/>
    </xf>
    <xf numFmtId="0" fontId="15" fillId="10" borderId="0" xfId="0" applyFont="1" applyFill="1" applyAlignment="1" applyProtection="1">
      <alignment horizontal="center"/>
    </xf>
    <xf numFmtId="0" fontId="2" fillId="0" borderId="0" xfId="0" applyFont="1" applyFill="1" applyAlignment="1" applyProtection="1">
      <alignment horizontal="left"/>
    </xf>
    <xf numFmtId="14" fontId="2" fillId="0" borderId="0" xfId="0" applyNumberFormat="1" applyFont="1" applyFill="1" applyAlignment="1" applyProtection="1">
      <alignment horizontal="left"/>
    </xf>
    <xf numFmtId="0" fontId="4" fillId="6" borderId="0" xfId="0" applyFont="1" applyFill="1" applyAlignment="1" applyProtection="1">
      <alignment horizontal="center"/>
    </xf>
    <xf numFmtId="0" fontId="2" fillId="0" borderId="0" xfId="0" applyFont="1" applyAlignment="1" applyProtection="1">
      <alignment horizontal="center"/>
    </xf>
    <xf numFmtId="0" fontId="4" fillId="12" borderId="0" xfId="0" applyFont="1" applyFill="1" applyAlignment="1" applyProtection="1">
      <alignment horizontal="center"/>
    </xf>
    <xf numFmtId="0" fontId="4" fillId="14" borderId="0" xfId="0" applyFont="1" applyFill="1" applyAlignment="1" applyProtection="1">
      <alignment horizontal="center"/>
    </xf>
    <xf numFmtId="0" fontId="2" fillId="0" borderId="0" xfId="0" applyFont="1" applyAlignment="1" applyProtection="1">
      <alignment horizontal="left"/>
    </xf>
    <xf numFmtId="0" fontId="15" fillId="7" borderId="0" xfId="0" applyFont="1" applyFill="1" applyAlignment="1" applyProtection="1">
      <alignment horizontal="center"/>
    </xf>
    <xf numFmtId="0" fontId="4" fillId="7" borderId="0" xfId="0" applyFont="1" applyFill="1" applyAlignment="1" applyProtection="1">
      <alignment horizontal="center"/>
    </xf>
    <xf numFmtId="0" fontId="8" fillId="0" borderId="0" xfId="0" applyFont="1" applyFill="1" applyAlignment="1" applyProtection="1">
      <alignment horizontal="center"/>
    </xf>
    <xf numFmtId="0" fontId="7" fillId="0" borderId="0" xfId="0" applyFont="1" applyFill="1" applyAlignment="1" applyProtection="1">
      <alignment horizontal="center"/>
    </xf>
    <xf numFmtId="14" fontId="6" fillId="0" borderId="0" xfId="0" applyNumberFormat="1" applyFont="1" applyAlignment="1" applyProtection="1">
      <alignment horizontal="left"/>
    </xf>
    <xf numFmtId="0" fontId="6" fillId="0" borderId="0" xfId="0" applyFont="1" applyAlignment="1" applyProtection="1">
      <alignment horizontal="left"/>
    </xf>
    <xf numFmtId="0" fontId="6" fillId="10" borderId="0" xfId="0" applyFont="1" applyFill="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0" borderId="10" xfId="0" applyFont="1" applyBorder="1" applyAlignment="1" applyProtection="1">
      <alignment horizontal="center"/>
    </xf>
    <xf numFmtId="0" fontId="0" fillId="17" borderId="0" xfId="0" applyFont="1" applyFill="1" applyAlignment="1" applyProtection="1">
      <alignment horizontal="left"/>
      <protection locked="0"/>
    </xf>
    <xf numFmtId="0" fontId="6" fillId="17" borderId="0" xfId="0" applyFont="1" applyFill="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2" fillId="4" borderId="11" xfId="0" applyFont="1" applyFill="1" applyBorder="1" applyAlignment="1" applyProtection="1">
      <alignment horizontal="center" vertical="center" textRotation="90"/>
    </xf>
    <xf numFmtId="0" fontId="2" fillId="4" borderId="0" xfId="0" applyFont="1" applyFill="1" applyBorder="1" applyAlignment="1" applyProtection="1">
      <alignment horizontal="center" vertical="center" textRotation="90"/>
    </xf>
    <xf numFmtId="0" fontId="2" fillId="20" borderId="0" xfId="0" applyFont="1" applyFill="1" applyAlignment="1" applyProtection="1">
      <alignment horizontal="center"/>
    </xf>
    <xf numFmtId="49" fontId="2" fillId="21" borderId="0" xfId="0" applyNumberFormat="1" applyFont="1" applyFill="1" applyBorder="1" applyAlignment="1" applyProtection="1">
      <alignment horizontal="center" vertical="center" textRotation="90"/>
    </xf>
    <xf numFmtId="49" fontId="2" fillId="21" borderId="2" xfId="0" applyNumberFormat="1" applyFont="1" applyFill="1" applyBorder="1" applyAlignment="1" applyProtection="1">
      <alignment horizontal="center" vertical="center" textRotation="90"/>
    </xf>
    <xf numFmtId="0" fontId="2" fillId="12" borderId="0" xfId="0" applyFont="1" applyFill="1" applyBorder="1" applyAlignment="1" applyProtection="1">
      <alignment horizontal="center" vertical="center" textRotation="90"/>
    </xf>
    <xf numFmtId="0" fontId="2" fillId="12" borderId="2" xfId="0" applyFont="1" applyFill="1" applyBorder="1" applyAlignment="1" applyProtection="1">
      <alignment horizontal="center" vertical="center" textRotation="90"/>
    </xf>
    <xf numFmtId="0" fontId="4" fillId="3" borderId="0" xfId="0" applyFont="1" applyFill="1" applyAlignment="1" applyProtection="1">
      <alignment horizontal="right"/>
    </xf>
    <xf numFmtId="0" fontId="6" fillId="20" borderId="0" xfId="0" applyFont="1" applyFill="1" applyAlignment="1" applyProtection="1">
      <alignment horizontal="center"/>
    </xf>
  </cellXfs>
  <cellStyles count="3">
    <cellStyle name="Comma" xfId="2" builtinId="3"/>
    <cellStyle name="Normal" xfId="0" builtinId="0"/>
    <cellStyle name="Percent" xfId="1" builtinId="5"/>
  </cellStyles>
  <dxfs count="34">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6570345"/>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6570345"/>
        </a:xfrm>
        <a:prstGeom prst="rect">
          <a:avLst/>
        </a:prstGeom>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Purpose:</a:t>
          </a:r>
        </a:p>
        <a:p>
          <a:pPr algn="l"/>
          <a:r>
            <a:rPr lang="en-US" sz="1100"/>
            <a:t>This</a:t>
          </a:r>
          <a:r>
            <a:rPr lang="en-US" sz="1100" baseline="0"/>
            <a:t> spreadsheet file has been created to assist in the design and review of Stormwater Wetland Projects which are seeking or have obtained funding through the State of Iowa's water quality programs.</a:t>
          </a:r>
        </a:p>
        <a:p>
          <a:pPr algn="l"/>
          <a:endParaRPr lang="en-US" sz="1100" baseline="0"/>
        </a:p>
        <a:p>
          <a:pPr algn="l"/>
          <a:r>
            <a:rPr lang="en-US" sz="1100" baseline="0"/>
            <a:t>This document is intended to be completed by the designer to provide review agencies with project data assembled and presented for review in a consistent manner from project to project.</a:t>
          </a:r>
        </a:p>
        <a:p>
          <a:pPr algn="l"/>
          <a:endParaRPr lang="en-US" sz="1100" baseline="0"/>
        </a:p>
        <a:p>
          <a:pPr algn="l"/>
          <a:r>
            <a:rPr lang="en-US" sz="1100" baseline="0"/>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p>
        <a:p>
          <a:r>
            <a:rPr lang="en-US" sz="1100" b="1" u="sng" baseline="0"/>
            <a:t>Contents:</a:t>
          </a:r>
        </a:p>
        <a:p>
          <a:endParaRPr lang="en-US" sz="1100" baseline="0"/>
        </a:p>
        <a:p>
          <a:r>
            <a:rPr lang="en-US" sz="1100" b="0" baseline="0">
              <a:solidFill>
                <a:schemeClr val="accent6">
                  <a:lumMod val="75000"/>
                </a:schemeClr>
              </a:solidFill>
            </a:rPr>
            <a:t>Checklists (to be completed and provided as part of State of Iowa water quality project review):</a:t>
          </a:r>
        </a:p>
        <a:p>
          <a:r>
            <a:rPr lang="en-US" sz="1100" baseline="0"/>
            <a:t>CL_1: Site Screening</a:t>
          </a:r>
        </a:p>
        <a:p>
          <a:r>
            <a:rPr lang="en-US" sz="1100" baseline="0"/>
            <a:t>CL_2: Design Summary</a:t>
          </a:r>
        </a:p>
        <a:p>
          <a:endParaRPr lang="en-US" sz="1100" baseline="0"/>
        </a:p>
        <a:p>
          <a:r>
            <a:rPr lang="en-US" sz="1100" b="0" baseline="0">
              <a:solidFill>
                <a:srgbClr val="0070C0"/>
              </a:solidFill>
            </a:rPr>
            <a:t>Calculation worksheets (integrated into project design reports at required stage of review):</a:t>
          </a:r>
        </a:p>
        <a:p>
          <a:r>
            <a:rPr lang="en-US" sz="1100" baseline="0"/>
            <a:t>DE_1: Watershed Info</a:t>
          </a:r>
        </a:p>
        <a:p>
          <a:r>
            <a:rPr lang="en-US" sz="1100" baseline="0"/>
            <a:t>Step 3: Hydrology*</a:t>
          </a:r>
        </a:p>
        <a:p>
          <a:r>
            <a:rPr lang="en-US" sz="1100" baseline="0"/>
            <a:t>Step 4: Pre-treatment</a:t>
          </a:r>
        </a:p>
        <a:p>
          <a:r>
            <a:rPr lang="en-US" sz="1100" baseline="0"/>
            <a:t>Step 5-7: Final Storage Volumes</a:t>
          </a:r>
        </a:p>
        <a:p>
          <a:r>
            <a:rPr lang="en-US" sz="1100" baseline="0"/>
            <a:t>Step 9: Results</a:t>
          </a:r>
        </a:p>
        <a:p>
          <a:r>
            <a:rPr lang="en-US" sz="1100" baseline="0"/>
            <a:t>Note that Steps 3-9 refer to the calculation step listed within the ISWMM Design Manual.</a:t>
          </a:r>
        </a:p>
        <a:p>
          <a:endParaRPr lang="en-US" sz="1100" baseline="0"/>
        </a:p>
        <a:p>
          <a:r>
            <a:rPr lang="en-US" sz="900" i="1" baseline="0"/>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p>
        <a:p>
          <a:r>
            <a:rPr lang="en-US" sz="1100" b="1" u="sng" baseline="0"/>
            <a:t>DISCLAIMER:</a:t>
          </a:r>
        </a:p>
        <a:p>
          <a:r>
            <a:rPr lang="en-US" sz="1100" baseline="0"/>
            <a:t>This document is intended only to be used for the purposes as described above.  It is expected that designers which use this document are familiar with the Stormwater Wetlands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p>
        <a:p>
          <a:r>
            <a:rPr lang="en-US" sz="1100" baseline="0"/>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19050</xdr:rowOff>
    </xdr:from>
    <xdr:to>
      <xdr:col>16</xdr:col>
      <xdr:colOff>514350</xdr:colOff>
      <xdr:row>23</xdr:row>
      <xdr:rowOff>123826</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50"/>
          <a:ext cx="3676650" cy="3362326"/>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CL_1</a:t>
          </a:r>
          <a:r>
            <a:rPr lang="en-US" sz="1100" b="1" u="sng" baseline="0">
              <a:latin typeface="+mn-lt"/>
            </a:rPr>
            <a:t> (Screening)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a:latin typeface="+mn-lt"/>
            </a:rPr>
            <a:t>Complete Site Evaluation</a:t>
          </a:r>
          <a:r>
            <a:rPr lang="en-US" sz="1100" baseline="0">
              <a:latin typeface="+mn-lt"/>
            </a:rPr>
            <a:t> Criteria and Planning information on this sheet.  Fill in light blue and yellow shaded boxes.</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For initial planning items and setback requirements, refer to </a:t>
          </a:r>
          <a:r>
            <a:rPr lang="en-US" sz="1100" baseline="0">
              <a:solidFill>
                <a:sysClr val="windowText" lastClr="000000"/>
              </a:solidFill>
              <a:latin typeface="+mn-lt"/>
            </a:rPr>
            <a:t>ISWMM Section 9.08-1 </a:t>
          </a:r>
          <a:r>
            <a:rPr lang="en-US" sz="1100" baseline="0">
              <a:latin typeface="+mn-lt"/>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69</xdr:row>
      <xdr:rowOff>95250</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3895723"/>
          <a:ext cx="3733800" cy="6562727"/>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(Design Summary) 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Answer (Y or N) if extended detention is being used to meet WQv requirements (cell F14).  </a:t>
          </a:r>
          <a:r>
            <a:rPr lang="en-US" sz="1100" baseline="0">
              <a:solidFill>
                <a:schemeClr val="dk1"/>
              </a:solidFill>
              <a:effectLst/>
              <a:latin typeface="+mn-lt"/>
              <a:ea typeface="+mn-ea"/>
              <a:cs typeface="+mn-cs"/>
            </a:rPr>
            <a:t>If wetland is not providing extended detention of the CPv event, ISWMM advises that the practice must demonstrate that release rate from WQv event is limited to provide extended detention of that event, in order for the practice to be considered as providing WQv treatment.  </a:t>
          </a:r>
          <a:r>
            <a:rPr lang="en-US" sz="1100" baseline="0">
              <a:latin typeface="+mn-lt"/>
            </a:rPr>
            <a:t>Refer to ISWMM Section 9.08 for other information about when extended detention of WQv is applicable.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upstream practices are being used to manage part of the WQv requirements, note that volume in the blue hatched box (cell F15).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Wetland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WQv and pretreatment volume; pool and high water elevation will automatically fill in with data from other tabs, unless a value is entered in the manual entry space above (if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Complete Wetland</a:t>
          </a:r>
          <a:r>
            <a:rPr lang="en-US" sz="1100" baseline="0">
              <a:solidFill>
                <a:schemeClr val="dk1"/>
              </a:solidFill>
              <a:effectLst/>
              <a:latin typeface="+mn-lt"/>
              <a:ea typeface="+mn-ea"/>
              <a:cs typeface="+mn-cs"/>
            </a:rPr>
            <a:t> Topography and Other Information on this sheet. Fill in light orange and gray shaded boxes.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baseline="0">
              <a:latin typeface="+mn-lt"/>
            </a:rPr>
            <a:t>If a "essential" or "target" criteria from ISWMM Section 9.08 is not met a red </a:t>
          </a:r>
          <a:r>
            <a:rPr lang="en-US" sz="1100" baseline="0">
              <a:solidFill>
                <a:srgbClr val="C00000"/>
              </a:solidFill>
              <a:latin typeface="+mn-lt"/>
            </a:rPr>
            <a:t>"!"</a:t>
          </a:r>
          <a:r>
            <a:rPr lang="en-US" sz="1100" baseline="0">
              <a:latin typeface="+mn-lt"/>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100" baseline="0">
            <a:solidFill>
              <a:schemeClr val="dk1"/>
            </a:solidFill>
            <a:effectLst/>
            <a:latin typeface="+mn-lt"/>
            <a:ea typeface="+mn-ea"/>
            <a:cs typeface="+mn-cs"/>
          </a:endParaRPr>
        </a:p>
        <a:p>
          <a:pPr marL="171450" indent="-171450">
            <a:buFont typeface="Arial" panose="020B0604020202020204" pitchFamily="34" charset="0"/>
            <a:buChar char="•"/>
          </a:pPr>
          <a:r>
            <a:rPr lang="en-US" sz="1100" baseline="0">
              <a:solidFill>
                <a:schemeClr val="dk1"/>
              </a:solidFill>
              <a:effectLst/>
              <a:latin typeface="+mn-lt"/>
              <a:ea typeface="+mn-ea"/>
              <a:cs typeface="+mn-cs"/>
            </a:rPr>
            <a:t>To allow the spreadsheet to evaluate wetland topography parameters correctly, </a:t>
          </a:r>
          <a:r>
            <a:rPr lang="en-US" sz="1100" b="1" baseline="0">
              <a:solidFill>
                <a:schemeClr val="dk1"/>
              </a:solidFill>
              <a:effectLst/>
              <a:latin typeface="+mn-lt"/>
              <a:ea typeface="+mn-ea"/>
              <a:cs typeface="+mn-cs"/>
            </a:rPr>
            <a:t>enter data in cells F55 and F56 as a number </a:t>
          </a:r>
          <a:r>
            <a:rPr lang="en-US" sz="1100" baseline="0">
              <a:solidFill>
                <a:schemeClr val="dk1"/>
              </a:solidFill>
              <a:effectLst/>
              <a:latin typeface="+mn-lt"/>
              <a:ea typeface="+mn-ea"/>
              <a:cs typeface="+mn-cs"/>
            </a:rPr>
            <a:t>(e.g. for a 6:1 slope, enter "6").</a:t>
          </a:r>
          <a:endParaRPr lang="en-US" sz="1100" baseline="0">
            <a:latin typeface="+mn-lt"/>
          </a:endParaRP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Local jurisdictions or grant funding sources may dictate at what stage in the design process items listed under "other information" need to be provided. </a:t>
          </a:r>
          <a:endParaRPr lang="en-US" sz="110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46</xdr:row>
      <xdr:rowOff>114300</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785812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DE_1 (Watershed Info) Tab:</a:t>
          </a:r>
        </a:p>
        <a:p>
          <a:endParaRPr lang="en-US" sz="1100" b="1" u="sng">
            <a:latin typeface="+mn-lt"/>
          </a:endParaRPr>
        </a:p>
        <a:p>
          <a:pPr marL="171450" indent="-171450">
            <a:buFont typeface="Arial" panose="020B0604020202020204" pitchFamily="34" charset="0"/>
            <a:buChar char="•"/>
          </a:pPr>
          <a:r>
            <a:rPr lang="en-US" sz="1100">
              <a:latin typeface="+mn-lt"/>
            </a:rPr>
            <a:t>Complete Watershed Properties (acres of each land use) for the area to be served by the practice in </a:t>
          </a:r>
          <a:r>
            <a:rPr lang="en-US" sz="1100" baseline="0">
              <a:latin typeface="+mn-lt"/>
            </a:rPr>
            <a:t>gray shaded boxes.</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indent="-171450">
            <a:buFont typeface="Arial" panose="020B0604020202020204" pitchFamily="34" charset="0"/>
            <a:buChar char="•"/>
          </a:pPr>
          <a:r>
            <a:rPr lang="en-US" sz="1100" baseline="0">
              <a:latin typeface="+mn-lt"/>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9.08 and 3.01). </a:t>
          </a:r>
          <a:r>
            <a:rPr lang="en-US" sz="1100" u="sng" baseline="0">
              <a:latin typeface="+mn-lt"/>
            </a:rPr>
            <a:t>Open spaces with less than 4" of SQR will be calculated as 50% impervious for the purposes of calculating WQv.</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 calculate the WQv volume for "Other areas", unless the box next to the </a:t>
          </a:r>
          <a:r>
            <a:rPr lang="en-US" sz="1100" baseline="0">
              <a:solidFill>
                <a:schemeClr val="dk1"/>
              </a:solidFill>
              <a:latin typeface="+mn-lt"/>
              <a:ea typeface="+mn-ea"/>
              <a:cs typeface="+mn-cs"/>
            </a:rPr>
            <a:t>"Other Areas Counted as Impervious for WQv calculation?" is entered as </a:t>
          </a:r>
          <a:r>
            <a:rPr lang="en-US" sz="1100" b="1" u="sng" baseline="0">
              <a:solidFill>
                <a:schemeClr val="dk1"/>
              </a:solidFill>
              <a:latin typeface="+mn-lt"/>
              <a:ea typeface="+mn-ea"/>
              <a:cs typeface="+mn-cs"/>
            </a:rPr>
            <a:t>"Y"</a:t>
          </a:r>
          <a:r>
            <a:rPr lang="en-US" sz="1100" b="0" u="none" baseline="0">
              <a:solidFill>
                <a:schemeClr val="dk1"/>
              </a:solidFill>
              <a:latin typeface="+mn-lt"/>
              <a:ea typeface="+mn-ea"/>
              <a:cs typeface="+mn-cs"/>
            </a:rPr>
            <a:t> (Cell E26 and E42).</a:t>
          </a:r>
          <a:r>
            <a:rPr lang="en-US" sz="1100" b="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If </a:t>
          </a:r>
          <a:r>
            <a:rPr lang="en-US" sz="1100" b="1" u="sng" baseline="0">
              <a:solidFill>
                <a:schemeClr val="dk1"/>
              </a:solidFill>
              <a:effectLst/>
              <a:latin typeface="+mn-lt"/>
              <a:ea typeface="+mn-ea"/>
              <a:cs typeface="+mn-cs"/>
            </a:rPr>
            <a:t>"Y"</a:t>
          </a:r>
          <a:r>
            <a:rPr lang="en-US" sz="1100" baseline="0">
              <a:solidFill>
                <a:schemeClr val="dk1"/>
              </a:solidFill>
              <a:effectLst/>
              <a:latin typeface="+mn-lt"/>
              <a:ea typeface="+mn-ea"/>
              <a:cs typeface="+mn-cs"/>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WQv volume for "Other areas" may also be manually entered to the right of either the "Existing" or "Proposed" watershed data entry area, as applicable (provide separate documentation). When used, enter </a:t>
          </a:r>
          <a:r>
            <a:rPr lang="en-US" sz="1100" b="1" u="sng" baseline="0">
              <a:solidFill>
                <a:schemeClr val="dk1"/>
              </a:solidFill>
              <a:effectLst/>
              <a:latin typeface="+mn-lt"/>
              <a:ea typeface="+mn-ea"/>
              <a:cs typeface="+mn-cs"/>
            </a:rPr>
            <a:t>"N"</a:t>
          </a:r>
          <a:r>
            <a:rPr lang="en-US" sz="1100" baseline="0">
              <a:solidFill>
                <a:schemeClr val="dk1"/>
              </a:solidFill>
              <a:effectLst/>
              <a:latin typeface="+mn-lt"/>
              <a:ea typeface="+mn-ea"/>
              <a:cs typeface="+mn-cs"/>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62</xdr:row>
      <xdr:rowOff>114300</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027747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3 (Hydrology)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rainfall data used for the model, in the blue fields.</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After a hydrologic</a:t>
          </a:r>
          <a:r>
            <a:rPr lang="en-US" sz="1100" baseline="0">
              <a:latin typeface="+mn-lt"/>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the flow data has been entered, the unit peak discharge value (qu) should calculate automatically. </a:t>
          </a:r>
          <a:r>
            <a:rPr lang="en-US" sz="1100" baseline="0">
              <a:solidFill>
                <a:sysClr val="windowText" lastClr="000000"/>
              </a:solidFill>
              <a:effectLst/>
              <a:latin typeface="+mn-lt"/>
              <a:ea typeface="+mn-ea"/>
              <a:cs typeface="+mn-cs"/>
            </a:rPr>
            <a:t>Use this value for the graph of (qu) vs (qo/qi) in the Small Storm Hydrology section of ISWMM to determi</a:t>
          </a:r>
          <a:r>
            <a:rPr lang="en-US" sz="1100" baseline="0">
              <a:solidFill>
                <a:schemeClr val="dk1"/>
              </a:solidFill>
              <a:effectLst/>
              <a:latin typeface="+mn-lt"/>
              <a:ea typeface="+mn-ea"/>
              <a:cs typeface="+mn-cs"/>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Entering the appropriate (qo/qi) ratio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allowable release rate for WQv (Cell D31) is only needed if a practice does not provide extended detention of the CPv, or if "live" storage is being used to provide extended detention of a portion of the WQv (only allowed in specific cases, refer to Section 9.08). In these cases, to qualify for WQv treatment, the final routing model of the practice for the WQv event will need to demonstrate that the allowable release rate from the practice (qo) is not exceeded for that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estimated volume for WQv in the row hatched in </a:t>
          </a:r>
          <a:r>
            <a:rPr lang="en-US" sz="1100" b="1" baseline="0">
              <a:solidFill>
                <a:schemeClr val="dk1"/>
              </a:solidFill>
              <a:effectLst/>
              <a:latin typeface="+mn-lt"/>
              <a:ea typeface="+mn-ea"/>
              <a:cs typeface="+mn-cs"/>
            </a:rPr>
            <a:t>orange</a:t>
          </a:r>
          <a:r>
            <a:rPr lang="en-US" sz="1100" baseline="0">
              <a:solidFill>
                <a:schemeClr val="dk1"/>
              </a:solidFill>
              <a:effectLst/>
              <a:latin typeface="+mn-lt"/>
              <a:ea typeface="+mn-ea"/>
              <a:cs typeface="+mn-cs"/>
            </a:rPr>
            <a:t> is only to be used to project the amount of "live" storage required if the practice needs to demonstrate the restricted release rate for extended detention of the WQv event. This is NOT the treatment volume required to be retained as "dead" storage below the normal pool elevation.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34</xdr:row>
      <xdr:rowOff>161925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714500"/>
          <a:ext cx="3676650" cy="52578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4 (Pretreatment)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For each forebay, enter the normal pool elevation and the stage-storage information.  Data should</a:t>
          </a:r>
          <a:r>
            <a:rPr lang="en-US" sz="1100" baseline="0">
              <a:latin typeface="+mn-lt"/>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142873</xdr:rowOff>
    </xdr:from>
    <xdr:to>
      <xdr:col>16</xdr:col>
      <xdr:colOff>200026</xdr:colOff>
      <xdr:row>69</xdr:row>
      <xdr:rowOff>152400</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323973"/>
          <a:ext cx="4533902" cy="10706102"/>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5-7 (Final Storage Volumes)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normal water surface elevation in the permanent pool in cell G5.</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Contour area information for the marsh and pool zones ("dead" storage) should be entered in</a:t>
          </a:r>
          <a:r>
            <a:rPr lang="en-US" sz="1100" baseline="0">
              <a:latin typeface="+mn-lt"/>
            </a:rPr>
            <a:t> the Wetland Permanent Pool Storage table. Data within marsh zones needs to be entered in 0.50 foot elevation increments below the normal pool elevation for the spreadsheet to calculate wetland marsh area metrics correctly. (enter data in Cells C14 to C17)</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Enter contour area information for 2 and 3 feet below normal pool. Data must be entered at these intervals for the spreadsheet to calculate wetland pool area metrics correctly. (enter data in Cells C18 and C19).  </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For depths greater than 3 feet below normal pool, the user may enter data in depth increments as needed to measure volume to the deepest depth of the pool. The value for contour area at the lowest depth of the pool should be set to zero (0 SF).</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Volumes are calculated using the following formula, to calculate separate storage volumes for the marsh and pool zones:</a:t>
          </a:r>
        </a:p>
        <a:p>
          <a:pPr marL="171450" indent="-171450">
            <a:buFont typeface="Arial" panose="020B0604020202020204" pitchFamily="34" charset="0"/>
            <a:buChar char="•"/>
          </a:pPr>
          <a:endParaRPr lang="en-US" sz="1100" baseline="0">
            <a:latin typeface="+mn-lt"/>
          </a:endParaRPr>
        </a:p>
        <a:p>
          <a:pPr marL="0" indent="0">
            <a:buFontTx/>
            <a:buNone/>
          </a:pPr>
          <a:r>
            <a:rPr lang="en-US" sz="1100" baseline="0">
              <a:latin typeface="+mn-lt"/>
            </a:rPr>
            <a:t>Where:</a:t>
          </a:r>
        </a:p>
        <a:p>
          <a:pPr marL="0" indent="0">
            <a:buFontTx/>
            <a:buNone/>
          </a:pPr>
          <a:r>
            <a:rPr lang="en-US" sz="1100" baseline="0">
              <a:latin typeface="+mn-lt"/>
            </a:rPr>
            <a:t>A1 = Contour Area of a given depth (D1) below normal pool within practice</a:t>
          </a:r>
        </a:p>
        <a:p>
          <a:pPr marL="0" indent="0">
            <a:buFontTx/>
            <a:buNone/>
          </a:pPr>
          <a:r>
            <a:rPr lang="en-US" sz="1100" baseline="0">
              <a:latin typeface="+mn-lt"/>
            </a:rPr>
            <a:t>A2 = Contour Area of a given depth (D2, next measure lower than D1) within practice</a:t>
          </a:r>
        </a:p>
        <a:p>
          <a:pPr marL="0" indent="0">
            <a:buFontTx/>
            <a:buNone/>
          </a:pPr>
          <a:r>
            <a:rPr lang="en-US" sz="1100" baseline="0">
              <a:latin typeface="+mn-lt"/>
            </a:rPr>
            <a:t>D1 = Depth of higher measured area below normal pool</a:t>
          </a:r>
        </a:p>
        <a:p>
          <a:pPr marL="0" indent="0">
            <a:buFontTx/>
            <a:buNone/>
          </a:pPr>
          <a:r>
            <a:rPr lang="en-US" sz="1100" baseline="0">
              <a:latin typeface="+mn-lt"/>
            </a:rPr>
            <a:t>D2 = Depth of next lower measured area below normal pool</a:t>
          </a:r>
        </a:p>
        <a:p>
          <a:pPr marL="0" indent="0">
            <a:buFontTx/>
            <a:buNone/>
          </a:pPr>
          <a:endParaRPr lang="en-US" sz="1100" baseline="0">
            <a:latin typeface="+mn-lt"/>
          </a:endParaRPr>
        </a:p>
        <a:p>
          <a:pPr marL="0" indent="0">
            <a:buFontTx/>
            <a:buNone/>
          </a:pPr>
          <a:r>
            <a:rPr lang="en-US" sz="1100" baseline="0">
              <a:latin typeface="+mn-lt"/>
            </a:rPr>
            <a:t>Difference = A1 - A2. [Difference in surface area of contours] </a:t>
          </a:r>
        </a:p>
        <a:p>
          <a:pPr marL="0" indent="0">
            <a:buFontTx/>
            <a:buNone/>
          </a:pPr>
          <a:r>
            <a:rPr lang="en-US" sz="1100" baseline="0">
              <a:latin typeface="+mn-lt"/>
            </a:rPr>
            <a:t>Average Depth = D1 - (D2 + D1) / 2 [Average depth between contours]</a:t>
          </a:r>
        </a:p>
        <a:p>
          <a:pPr marL="0" indent="0">
            <a:buFontTx/>
            <a:buNone/>
          </a:pPr>
          <a:r>
            <a:rPr lang="en-US" sz="1100" baseline="0">
              <a:latin typeface="+mn-lt"/>
            </a:rPr>
            <a:t>Incremental Volume = Difference * Average Depth [Volume in this zone]</a:t>
          </a:r>
        </a:p>
        <a:p>
          <a:pPr marL="0" indent="0">
            <a:buFontTx/>
            <a:buNone/>
          </a:pPr>
          <a:r>
            <a:rPr lang="en-US" sz="1100" baseline="0">
              <a:latin typeface="+mn-lt"/>
            </a:rPr>
            <a:t>Cumulative Volume = Incremental Volume + Cumulative Volume for zones above</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Contour area information for "live" storage above the normal pool should be entered in the Temporary Storage table. Enter data at intervals as needed, up to at least the crest of the dam. Storage is computed using the average end area method.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both "live" and "dead" storage volumes and metrics once data is entered. </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G57 if total "dead" storage below the normal pool exceeds the required WQv to be treated. If the percentage of WQv stored in normal pool is less than required, but above 50%, Cell G57 will display "ED" (for extended detention). </a:t>
          </a:r>
          <a:r>
            <a:rPr lang="en-US" sz="1100" i="1" baseline="0">
              <a:solidFill>
                <a:schemeClr val="dk1"/>
              </a:solidFill>
              <a:effectLst/>
              <a:latin typeface="+mn-lt"/>
              <a:ea typeface="+mn-ea"/>
              <a:cs typeface="+mn-cs"/>
            </a:rPr>
            <a:t>Note: Wetlands are only allowed to use "live" storage and extended detention to store a portion of the WQv treatment volume under certain circumstances, which are described in Section 9.08.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i="1"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Cell E60 will calculate the required percentage of WQv needing to be treated by the pond, based on requirements within Sections 9.08 and 9.12.  </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G60 if the marsh volume is at least 25% of the WQv to be treated.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 G63 if the difference in the low and high marsh areas is within 20% of the area covered by the permanent pool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note in Cells G64 and G65 if the areas within the pool zones (greater than 1.5 and 3.0 feet depths) are within the parameters set in Section 9.08.</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9526</xdr:rowOff>
    </xdr:from>
    <xdr:to>
      <xdr:col>14</xdr:col>
      <xdr:colOff>0</xdr:colOff>
      <xdr:row>26</xdr:row>
      <xdr:rowOff>47625</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6"/>
          <a:ext cx="4019550" cy="479107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9 (Results)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a stage-storage-discharge routing model for the wetland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Data for the WQv event does not need to be entered unless the release rate for extended detention needs to be checked, as per notes on previous tabs and requirements within Section 9.08.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expected peak outflow rates from the practice calculated by the routing model for the various storm events in Cells C13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expected high water elevations within the practice calculated by the routing model for the various storm events in Cells D13 to D20. High water elevation should be based on the same datum used to fill out the normal pool elevation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maximum "live" storage above the normal pool calculated by the routing model for the various storm events in Cells E13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delay in time between the peak inflow rate to the practice and the peak outflow rate from the practice, based on output data from the routing model in Cells C27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various metrics based on the data entered. These will quantify the peak volume of water stored, note the delay in peak flows and demonstrate the reduction in flow rates due to the practice.</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A59" sqref="A59"/>
    </sheetView>
  </sheetViews>
  <sheetFormatPr defaultColWidth="8.85546875" defaultRowHeight="13.5" x14ac:dyDescent="0.25"/>
  <cols>
    <col min="1" max="3" width="8.85546875" style="1"/>
    <col min="4" max="4" width="10" style="1" customWidth="1"/>
    <col min="5" max="16384" width="8.85546875" style="1"/>
  </cols>
  <sheetData>
    <row r="1" spans="1:10" s="7" customFormat="1" ht="12.75" x14ac:dyDescent="0.2">
      <c r="A1" s="286" t="s">
        <v>113</v>
      </c>
      <c r="B1" s="286"/>
      <c r="C1" s="286"/>
      <c r="D1" s="286"/>
      <c r="E1" s="286"/>
      <c r="F1" s="286"/>
      <c r="G1" s="286"/>
      <c r="H1" s="286"/>
      <c r="I1" s="286"/>
    </row>
    <row r="2" spans="1:10" s="7" customFormat="1" ht="12.75" x14ac:dyDescent="0.2">
      <c r="A2" s="287"/>
      <c r="B2" s="287"/>
      <c r="C2" s="287"/>
      <c r="D2" s="287"/>
      <c r="E2" s="287"/>
      <c r="F2" s="287"/>
      <c r="G2" s="287"/>
      <c r="H2" s="287"/>
      <c r="I2" s="287"/>
    </row>
    <row r="3" spans="1:10" s="2" customFormat="1" x14ac:dyDescent="0.25">
      <c r="A3" s="3"/>
      <c r="B3" s="8"/>
      <c r="C3" s="10"/>
      <c r="D3" s="10"/>
      <c r="E3" s="10"/>
      <c r="F3" s="10"/>
      <c r="G3" s="10"/>
      <c r="H3" s="10"/>
      <c r="I3" s="10"/>
      <c r="J3" s="3"/>
    </row>
    <row r="4" spans="1:10" s="3" customFormat="1" ht="3.6" customHeight="1" x14ac:dyDescent="0.25">
      <c r="B4" s="8"/>
      <c r="C4" s="13"/>
      <c r="D4" s="13"/>
      <c r="E4" s="13"/>
      <c r="F4" s="13"/>
      <c r="G4" s="13"/>
      <c r="H4" s="13"/>
      <c r="I4" s="13"/>
    </row>
    <row r="5" spans="1:10" x14ac:dyDescent="0.25">
      <c r="A5" s="11"/>
      <c r="B5" s="11"/>
      <c r="C5" s="10"/>
      <c r="D5" s="10"/>
      <c r="E5" s="10"/>
      <c r="F5" s="8"/>
      <c r="G5" s="16"/>
      <c r="H5" s="10"/>
      <c r="I5" s="10"/>
      <c r="J5" s="4"/>
    </row>
    <row r="6" spans="1:10" s="4" customFormat="1" ht="3" customHeight="1" x14ac:dyDescent="0.25">
      <c r="A6" s="8"/>
      <c r="B6" s="8"/>
      <c r="C6" s="13"/>
      <c r="D6" s="13"/>
      <c r="E6" s="13"/>
      <c r="F6" s="8"/>
      <c r="G6" s="13"/>
      <c r="H6" s="13"/>
      <c r="I6" s="13"/>
    </row>
    <row r="7" spans="1:10" x14ac:dyDescent="0.25">
      <c r="A7" s="11"/>
      <c r="B7" s="11"/>
      <c r="C7" s="10"/>
      <c r="D7" s="10"/>
      <c r="E7" s="10"/>
      <c r="F7" s="8"/>
      <c r="G7" s="10"/>
      <c r="H7" s="10"/>
      <c r="I7" s="10"/>
      <c r="J7" s="4"/>
    </row>
    <row r="8" spans="1:10" s="4" customFormat="1" ht="3.6" customHeight="1" x14ac:dyDescent="0.25">
      <c r="A8" s="8"/>
      <c r="B8" s="8"/>
      <c r="C8" s="13"/>
      <c r="D8" s="13"/>
      <c r="E8" s="13"/>
      <c r="F8" s="8"/>
      <c r="G8" s="13"/>
      <c r="H8" s="13"/>
      <c r="I8" s="13"/>
    </row>
    <row r="9" spans="1:10" x14ac:dyDescent="0.25">
      <c r="A9" s="11"/>
      <c r="B9" s="11"/>
      <c r="C9" s="11"/>
      <c r="D9" s="11"/>
      <c r="E9" s="11"/>
      <c r="F9" s="11"/>
      <c r="G9" s="11"/>
      <c r="H9" s="11"/>
      <c r="I9" s="11"/>
      <c r="J9" s="11"/>
    </row>
    <row r="10" spans="1:10" ht="3.6" customHeight="1" x14ac:dyDescent="0.25">
      <c r="A10" s="4"/>
      <c r="B10" s="4"/>
      <c r="C10" s="4"/>
      <c r="D10" s="4"/>
      <c r="E10" s="4"/>
      <c r="F10" s="4"/>
      <c r="G10" s="4"/>
      <c r="H10" s="4"/>
      <c r="I10" s="4"/>
      <c r="J10" s="4"/>
    </row>
    <row r="11" spans="1:10" x14ac:dyDescent="0.25">
      <c r="A11" s="9"/>
      <c r="B11" s="4"/>
      <c r="C11" s="4"/>
      <c r="D11" s="4"/>
      <c r="E11" s="4"/>
      <c r="F11" s="4"/>
      <c r="G11" s="4"/>
      <c r="H11" s="4"/>
      <c r="I11" s="4"/>
      <c r="J11" s="4"/>
    </row>
    <row r="12" spans="1:10" x14ac:dyDescent="0.25">
      <c r="A12" s="4"/>
      <c r="B12" s="4"/>
      <c r="C12" s="4"/>
      <c r="D12" s="4"/>
      <c r="E12" s="4"/>
      <c r="F12" s="4"/>
      <c r="G12" s="4"/>
      <c r="H12" s="4"/>
      <c r="I12" s="4"/>
      <c r="J12" s="4"/>
    </row>
    <row r="13" spans="1:10" x14ac:dyDescent="0.25">
      <c r="A13" s="4"/>
      <c r="B13" s="4"/>
      <c r="C13" s="4"/>
      <c r="D13" s="3"/>
      <c r="E13" s="5"/>
      <c r="F13" s="4"/>
      <c r="G13" s="4"/>
      <c r="H13" s="4"/>
      <c r="I13" s="4"/>
      <c r="J13" s="4"/>
    </row>
    <row r="14" spans="1:10" x14ac:dyDescent="0.25">
      <c r="A14" s="4"/>
      <c r="B14" s="4"/>
      <c r="C14" s="4"/>
      <c r="D14" s="4"/>
      <c r="E14" s="5"/>
      <c r="F14" s="4"/>
      <c r="G14" s="4"/>
      <c r="H14" s="4"/>
      <c r="I14" s="4"/>
      <c r="J14" s="4"/>
    </row>
    <row r="15" spans="1:10" s="4" customFormat="1" ht="3.6" customHeight="1" x14ac:dyDescent="0.25">
      <c r="E15" s="5"/>
    </row>
    <row r="16" spans="1:10" x14ac:dyDescent="0.25">
      <c r="A16" s="4"/>
      <c r="B16" s="4"/>
      <c r="C16" s="4"/>
      <c r="D16" s="4"/>
      <c r="E16" s="4"/>
      <c r="F16" s="5"/>
      <c r="G16" s="4"/>
      <c r="H16" s="4"/>
      <c r="I16" s="4"/>
      <c r="J16" s="4"/>
    </row>
    <row r="17" spans="1:10" x14ac:dyDescent="0.25">
      <c r="A17" s="4"/>
      <c r="B17" s="4"/>
      <c r="C17" s="4"/>
      <c r="D17" s="4"/>
      <c r="E17" s="4"/>
      <c r="F17" s="4"/>
      <c r="G17" s="4"/>
      <c r="H17" s="4"/>
      <c r="I17" s="4"/>
      <c r="J17" s="4"/>
    </row>
    <row r="18" spans="1:10" x14ac:dyDescent="0.25">
      <c r="A18" s="4"/>
      <c r="B18" s="4"/>
      <c r="C18" s="4"/>
      <c r="D18" s="3"/>
      <c r="E18" s="5"/>
      <c r="F18" s="3"/>
      <c r="G18" s="5"/>
      <c r="H18" s="17"/>
      <c r="I18" s="17"/>
      <c r="J18" s="4"/>
    </row>
    <row r="19" spans="1:10" x14ac:dyDescent="0.25">
      <c r="A19" s="4"/>
      <c r="B19" s="4"/>
      <c r="C19" s="4"/>
      <c r="D19" s="3"/>
      <c r="E19" s="5"/>
      <c r="F19" s="3"/>
      <c r="G19" s="5"/>
      <c r="H19" s="17"/>
      <c r="I19" s="17"/>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10"/>
      <c r="B22" s="10"/>
      <c r="C22" s="10"/>
      <c r="D22" s="10"/>
      <c r="E22" s="10"/>
      <c r="F22" s="10"/>
      <c r="G22" s="10"/>
      <c r="H22" s="10"/>
      <c r="I22" s="10"/>
      <c r="J22" s="10"/>
    </row>
    <row r="23" spans="1:10" x14ac:dyDescent="0.25">
      <c r="A23" s="4"/>
      <c r="B23" s="4"/>
      <c r="C23" s="4"/>
      <c r="D23" s="4"/>
      <c r="E23" s="4"/>
      <c r="F23" s="4"/>
      <c r="G23" s="4"/>
      <c r="H23" s="4"/>
      <c r="I23" s="4"/>
      <c r="J23" s="4"/>
    </row>
    <row r="24" spans="1:10" x14ac:dyDescent="0.25">
      <c r="A24" s="4"/>
      <c r="B24" s="4"/>
      <c r="C24" s="4"/>
      <c r="D24" s="3"/>
      <c r="E24" s="5"/>
      <c r="F24" s="4"/>
      <c r="G24" s="3"/>
      <c r="H24" s="5"/>
      <c r="I24" s="4"/>
      <c r="J24" s="4"/>
    </row>
    <row r="25" spans="1:10" x14ac:dyDescent="0.25">
      <c r="A25" s="4"/>
      <c r="B25" s="4"/>
      <c r="C25" s="4"/>
      <c r="D25" s="3"/>
      <c r="E25" s="5"/>
      <c r="F25" s="4"/>
      <c r="G25" s="3"/>
      <c r="H25" s="5"/>
      <c r="I25" s="4"/>
      <c r="J25" s="4"/>
    </row>
    <row r="26" spans="1:10" s="4" customFormat="1" ht="3" customHeight="1" x14ac:dyDescent="0.25">
      <c r="D26" s="3"/>
      <c r="E26" s="5"/>
      <c r="G26" s="3"/>
      <c r="H26" s="5"/>
    </row>
    <row r="27" spans="1:10" x14ac:dyDescent="0.25">
      <c r="A27" s="4"/>
      <c r="B27" s="4"/>
      <c r="C27" s="10"/>
      <c r="D27" s="10"/>
      <c r="E27" s="10"/>
      <c r="F27" s="10"/>
      <c r="G27" s="10"/>
      <c r="H27" s="10"/>
      <c r="I27" s="10"/>
      <c r="J27" s="10"/>
    </row>
    <row r="28" spans="1:10" x14ac:dyDescent="0.25">
      <c r="A28" s="4"/>
      <c r="B28" s="4"/>
      <c r="C28" s="4"/>
      <c r="D28" s="4"/>
      <c r="E28" s="4"/>
      <c r="F28" s="4"/>
      <c r="G28" s="4"/>
      <c r="H28" s="4"/>
      <c r="I28" s="4"/>
      <c r="J28" s="4"/>
    </row>
    <row r="29" spans="1:10" x14ac:dyDescent="0.25">
      <c r="A29" s="4"/>
      <c r="B29" s="4"/>
      <c r="C29" s="5"/>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18"/>
      <c r="F31" s="4"/>
      <c r="G31" s="4"/>
      <c r="H31" s="4"/>
      <c r="I31" s="4"/>
      <c r="J31" s="4"/>
    </row>
    <row r="32" spans="1:10" x14ac:dyDescent="0.25">
      <c r="A32" s="4"/>
      <c r="B32" s="4"/>
      <c r="C32" s="4"/>
      <c r="D32" s="4"/>
      <c r="E32" s="4"/>
      <c r="F32" s="4"/>
      <c r="G32" s="4"/>
      <c r="H32" s="4"/>
      <c r="I32" s="4"/>
      <c r="J32" s="4"/>
    </row>
    <row r="33" spans="1:10" x14ac:dyDescent="0.25">
      <c r="A33" s="4"/>
      <c r="B33" s="4"/>
      <c r="C33" s="4"/>
      <c r="D33" s="5"/>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5"/>
      <c r="F35" s="4"/>
      <c r="G35" s="4"/>
      <c r="H35" s="4"/>
      <c r="I35" s="4"/>
      <c r="J35" s="4"/>
    </row>
    <row r="36" spans="1:10" x14ac:dyDescent="0.25">
      <c r="A36" s="4"/>
      <c r="B36" s="4"/>
      <c r="C36" s="4"/>
      <c r="D36" s="4"/>
      <c r="E36" s="4"/>
      <c r="F36" s="4"/>
      <c r="G36" s="4"/>
      <c r="H36" s="4"/>
      <c r="I36" s="4"/>
      <c r="J36" s="4"/>
    </row>
    <row r="37" spans="1:10" x14ac:dyDescent="0.25">
      <c r="A37" s="4"/>
      <c r="B37" s="4"/>
      <c r="C37" s="4"/>
      <c r="D37" s="4"/>
      <c r="E37" s="5"/>
      <c r="F37" s="4"/>
      <c r="G37" s="4"/>
      <c r="H37" s="4"/>
      <c r="I37" s="4"/>
      <c r="J37" s="4"/>
    </row>
    <row r="38" spans="1:10" x14ac:dyDescent="0.25">
      <c r="A38" s="4"/>
      <c r="B38" s="4"/>
      <c r="C38" s="4"/>
      <c r="D38" s="4"/>
      <c r="E38" s="5"/>
      <c r="F38" s="4"/>
      <c r="G38" s="4"/>
      <c r="H38" s="4"/>
      <c r="I38" s="4"/>
      <c r="J38" s="4"/>
    </row>
    <row r="39" spans="1:10" s="4" customFormat="1" ht="3.6" customHeight="1" x14ac:dyDescent="0.25">
      <c r="E39" s="5"/>
    </row>
    <row r="40" spans="1:10" x14ac:dyDescent="0.25">
      <c r="A40" s="4"/>
      <c r="B40" s="4"/>
      <c r="C40" s="4"/>
      <c r="D40" s="4"/>
      <c r="E40" s="5"/>
      <c r="F40" s="4"/>
      <c r="G40" s="4"/>
      <c r="H40" s="4"/>
      <c r="I40" s="4"/>
      <c r="J40" s="4"/>
    </row>
    <row r="41" spans="1:10" x14ac:dyDescent="0.25">
      <c r="A41" s="4"/>
      <c r="B41" s="4"/>
      <c r="C41" s="4"/>
      <c r="D41" s="4"/>
      <c r="E41" s="5"/>
      <c r="F41" s="4"/>
      <c r="G41" s="4"/>
      <c r="H41" s="4"/>
      <c r="I41" s="4"/>
      <c r="J41" s="4"/>
    </row>
    <row r="42" spans="1:10" x14ac:dyDescent="0.25">
      <c r="A42" s="4"/>
      <c r="B42" s="4"/>
      <c r="C42" s="4"/>
      <c r="D42" s="4"/>
      <c r="E42" s="4"/>
      <c r="F42" s="4"/>
      <c r="G42" s="4"/>
      <c r="H42" s="4"/>
      <c r="I42" s="4"/>
      <c r="J42" s="4"/>
    </row>
    <row r="43" spans="1:10" x14ac:dyDescent="0.25">
      <c r="A43" s="9"/>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5"/>
      <c r="D45" s="4"/>
      <c r="E45" s="5"/>
      <c r="F45" s="4"/>
      <c r="G45" s="4"/>
      <c r="H45" s="5"/>
      <c r="I45" s="4"/>
      <c r="J45" s="4"/>
    </row>
    <row r="46" spans="1:10" s="4" customFormat="1" ht="3.6" customHeight="1" x14ac:dyDescent="0.25">
      <c r="A46" s="19"/>
      <c r="B46" s="19"/>
      <c r="C46" s="5"/>
      <c r="E46" s="5"/>
      <c r="H46" s="5"/>
    </row>
    <row r="47" spans="1:10" x14ac:dyDescent="0.25">
      <c r="A47" s="19"/>
      <c r="B47" s="19"/>
      <c r="C47" s="5"/>
      <c r="D47" s="4"/>
      <c r="E47" s="10"/>
      <c r="F47" s="10"/>
      <c r="G47" s="10"/>
      <c r="H47" s="10"/>
      <c r="I47" s="10"/>
      <c r="J47" s="10"/>
    </row>
    <row r="48" spans="1:10" x14ac:dyDescent="0.25">
      <c r="A48" s="4"/>
      <c r="B48" s="4"/>
      <c r="C48" s="4"/>
      <c r="D48" s="4"/>
      <c r="E48" s="4"/>
      <c r="F48" s="4"/>
      <c r="G48" s="4"/>
      <c r="H48" s="4"/>
      <c r="I48" s="4"/>
      <c r="J48" s="4"/>
    </row>
    <row r="49" spans="1:11" x14ac:dyDescent="0.25">
      <c r="A49" s="4"/>
      <c r="B49" s="4"/>
      <c r="C49" s="4"/>
      <c r="D49" s="4"/>
      <c r="E49" s="4"/>
      <c r="F49" s="4"/>
      <c r="G49" s="4"/>
      <c r="H49" s="4"/>
      <c r="I49" s="4"/>
      <c r="J49" s="4"/>
    </row>
    <row r="50" spans="1:11" x14ac:dyDescent="0.25">
      <c r="A50" s="4"/>
      <c r="B50" s="4"/>
      <c r="C50" s="4"/>
      <c r="D50" s="4"/>
      <c r="E50" s="4"/>
      <c r="F50" s="4"/>
      <c r="G50" s="4"/>
      <c r="H50" s="4"/>
      <c r="I50" s="4"/>
      <c r="J50" s="4"/>
    </row>
    <row r="51" spans="1:11" x14ac:dyDescent="0.25">
      <c r="A51" s="4"/>
      <c r="B51" s="4"/>
      <c r="C51" s="5"/>
      <c r="D51" s="4"/>
      <c r="E51" s="4"/>
      <c r="F51" s="4"/>
      <c r="G51" s="4"/>
      <c r="H51" s="4"/>
      <c r="I51" s="4"/>
      <c r="J51" s="4"/>
    </row>
    <row r="52" spans="1:11" x14ac:dyDescent="0.25">
      <c r="A52" s="4"/>
      <c r="B52" s="4"/>
      <c r="C52" s="5"/>
      <c r="D52" s="3"/>
      <c r="E52" s="10"/>
      <c r="F52" s="10"/>
      <c r="G52" s="10"/>
      <c r="H52" s="10"/>
      <c r="I52" s="10"/>
      <c r="J52" s="10"/>
    </row>
    <row r="53" spans="1:11" x14ac:dyDescent="0.25">
      <c r="A53" s="4"/>
      <c r="B53" s="4"/>
      <c r="C53" s="5"/>
      <c r="D53" s="4"/>
      <c r="E53" s="4"/>
      <c r="F53" s="4"/>
      <c r="G53" s="4"/>
      <c r="H53" s="4"/>
      <c r="I53" s="4"/>
      <c r="J53" s="4"/>
    </row>
    <row r="54" spans="1:11" x14ac:dyDescent="0.25">
      <c r="A54" s="4"/>
      <c r="B54" s="4"/>
      <c r="C54" s="5"/>
      <c r="D54" s="3"/>
      <c r="E54" s="5"/>
      <c r="F54" s="4"/>
      <c r="G54" s="4"/>
      <c r="H54" s="4"/>
      <c r="I54" s="4"/>
      <c r="J54" s="4"/>
    </row>
    <row r="55" spans="1:11" x14ac:dyDescent="0.25">
      <c r="A55" s="4"/>
      <c r="B55" s="4"/>
      <c r="C55" s="5"/>
      <c r="D55" s="4"/>
      <c r="E55" s="4"/>
      <c r="F55" s="4"/>
      <c r="G55" s="4"/>
      <c r="H55" s="4"/>
      <c r="I55" s="4"/>
      <c r="J55" s="4"/>
    </row>
    <row r="56" spans="1:11" ht="14.25" thickBot="1" x14ac:dyDescent="0.3">
      <c r="A56" s="4"/>
      <c r="B56" s="4"/>
      <c r="C56" s="5"/>
      <c r="D56" s="4"/>
      <c r="E56" s="4"/>
      <c r="F56" s="4"/>
      <c r="G56" s="4"/>
      <c r="H56" s="4"/>
      <c r="I56" s="4"/>
      <c r="J56" s="4"/>
    </row>
    <row r="57" spans="1:11" ht="16.5" x14ac:dyDescent="0.3">
      <c r="A57" s="288" t="s">
        <v>302</v>
      </c>
      <c r="B57" s="288"/>
      <c r="C57" s="288"/>
      <c r="D57" s="288"/>
      <c r="E57" s="288"/>
      <c r="F57" s="288"/>
      <c r="G57" s="288"/>
      <c r="H57" s="288"/>
      <c r="I57" s="288"/>
      <c r="J57" s="288"/>
    </row>
    <row r="58" spans="1:11" ht="16.5" x14ac:dyDescent="0.3">
      <c r="A58" s="289" t="s">
        <v>329</v>
      </c>
      <c r="B58" s="289"/>
      <c r="C58" s="289"/>
      <c r="D58" s="289"/>
      <c r="E58" s="289"/>
      <c r="F58" s="289"/>
      <c r="G58" s="289"/>
      <c r="H58" s="289"/>
      <c r="I58" s="289"/>
      <c r="J58" s="289"/>
    </row>
    <row r="59" spans="1:11" x14ac:dyDescent="0.25">
      <c r="A59" s="4"/>
      <c r="B59" s="4"/>
      <c r="C59" s="4"/>
      <c r="D59" s="4"/>
      <c r="E59" s="4"/>
      <c r="F59" s="4"/>
      <c r="G59" s="4"/>
      <c r="H59" s="4"/>
      <c r="I59" s="4"/>
      <c r="J59" s="4"/>
    </row>
    <row r="60" spans="1:11" x14ac:dyDescent="0.25">
      <c r="A60" s="4"/>
      <c r="B60" s="4"/>
      <c r="C60" s="4"/>
      <c r="D60" s="4"/>
      <c r="E60" s="4"/>
      <c r="F60" s="20"/>
      <c r="G60" s="20"/>
      <c r="H60" s="20"/>
      <c r="I60" s="20"/>
      <c r="J60" s="20"/>
      <c r="K60" s="12"/>
    </row>
    <row r="61" spans="1:11" x14ac:dyDescent="0.25">
      <c r="A61" s="4"/>
      <c r="B61" s="4"/>
      <c r="C61" s="4"/>
      <c r="D61" s="4"/>
      <c r="E61" s="4"/>
      <c r="F61" s="20"/>
      <c r="G61" s="20"/>
      <c r="H61" s="20"/>
      <c r="I61" s="20"/>
      <c r="J61" s="20"/>
      <c r="K61" s="12"/>
    </row>
    <row r="62" spans="1:11" x14ac:dyDescent="0.25">
      <c r="A62" s="4"/>
      <c r="B62" s="4"/>
      <c r="C62" s="4"/>
      <c r="D62" s="4"/>
      <c r="E62" s="4"/>
      <c r="F62" s="4"/>
      <c r="G62" s="4"/>
      <c r="H62" s="4"/>
      <c r="I62" s="4"/>
      <c r="J62" s="4"/>
    </row>
    <row r="63" spans="1:11" x14ac:dyDescent="0.25">
      <c r="A63" s="4"/>
      <c r="B63" s="4"/>
      <c r="C63" s="4"/>
      <c r="D63" s="4"/>
      <c r="E63" s="5"/>
      <c r="F63" s="4"/>
      <c r="G63" s="4"/>
      <c r="H63" s="4"/>
      <c r="I63" s="4"/>
      <c r="J63" s="4"/>
    </row>
    <row r="64" spans="1:11" x14ac:dyDescent="0.25">
      <c r="A64" s="4"/>
      <c r="B64" s="4"/>
      <c r="C64" s="4"/>
      <c r="D64" s="4"/>
      <c r="E64" s="5"/>
      <c r="F64" s="4"/>
      <c r="G64" s="4"/>
      <c r="H64" s="4"/>
      <c r="I64" s="4"/>
      <c r="J64" s="4"/>
    </row>
    <row r="65" spans="1:10" x14ac:dyDescent="0.25">
      <c r="A65" s="4"/>
      <c r="B65" s="4"/>
      <c r="C65" s="4"/>
      <c r="D65" s="4"/>
      <c r="E65" s="5"/>
      <c r="F65" s="4"/>
      <c r="G65" s="4"/>
      <c r="H65" s="4"/>
      <c r="I65" s="4"/>
      <c r="J65" s="4"/>
    </row>
    <row r="66" spans="1:10" x14ac:dyDescent="0.25">
      <c r="A66" s="4"/>
      <c r="B66" s="4"/>
      <c r="C66" s="4"/>
      <c r="D66" s="4"/>
      <c r="E66" s="5"/>
      <c r="F66" s="4"/>
      <c r="G66" s="4"/>
      <c r="H66" s="4"/>
      <c r="I66" s="4"/>
      <c r="J66" s="4"/>
    </row>
    <row r="67" spans="1:10" x14ac:dyDescent="0.25">
      <c r="A67" s="4"/>
      <c r="B67" s="4"/>
      <c r="C67" s="4"/>
      <c r="D67" s="4"/>
      <c r="E67" s="5"/>
      <c r="F67" s="4"/>
      <c r="G67" s="4"/>
      <c r="H67" s="4"/>
      <c r="I67" s="4"/>
      <c r="J67" s="4"/>
    </row>
    <row r="68" spans="1:10" x14ac:dyDescent="0.25">
      <c r="A68" s="4"/>
      <c r="B68" s="4"/>
      <c r="C68" s="4"/>
      <c r="D68" s="4"/>
      <c r="E68" s="5"/>
      <c r="F68" s="4"/>
      <c r="G68" s="4"/>
      <c r="H68" s="4"/>
      <c r="I68" s="4"/>
      <c r="J68" s="4"/>
    </row>
  </sheetData>
  <sheetProtection algorithmName="SHA-512" hashValue="Hjdjzjp2avpjn6N5N7ju3l/kAqs1zn6RpDyCcgRWZJW3qjpHrycqYTeuK7zZ9fiBjFxROpTMRi8Zvu7VarfgKw==" saltValue="1EnuzmEQ8uhnNIBlKq2I6w==" spinCount="100000" sheet="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M73"/>
  <sheetViews>
    <sheetView view="pageBreakPreview" topLeftCell="A11" zoomScaleNormal="100" zoomScaleSheetLayoutView="100" workbookViewId="0">
      <selection activeCell="E65" sqref="E65"/>
    </sheetView>
  </sheetViews>
  <sheetFormatPr defaultColWidth="8.85546875" defaultRowHeight="13.5" x14ac:dyDescent="0.25"/>
  <cols>
    <col min="1" max="3" width="8.85546875" style="6"/>
    <col min="4" max="4" width="10" style="6" customWidth="1"/>
    <col min="5" max="11" width="8.85546875" style="6"/>
    <col min="12" max="12" width="12" style="113" customWidth="1"/>
    <col min="13" max="16384" width="8.85546875" style="6"/>
  </cols>
  <sheetData>
    <row r="1" spans="1:12" s="150" customFormat="1" ht="12.75" x14ac:dyDescent="0.2">
      <c r="A1" s="297" t="s">
        <v>113</v>
      </c>
      <c r="B1" s="297"/>
      <c r="C1" s="297"/>
      <c r="D1" s="297"/>
      <c r="E1" s="297"/>
      <c r="F1" s="297"/>
      <c r="G1" s="297"/>
      <c r="H1" s="297"/>
      <c r="I1" s="297"/>
      <c r="L1" s="149"/>
    </row>
    <row r="2" spans="1:12" s="150" customFormat="1" ht="12.75" x14ac:dyDescent="0.2">
      <c r="A2" s="299" t="s">
        <v>189</v>
      </c>
      <c r="B2" s="299"/>
      <c r="C2" s="299"/>
      <c r="D2" s="299"/>
      <c r="E2" s="299"/>
      <c r="F2" s="299"/>
      <c r="G2" s="299"/>
      <c r="H2" s="299"/>
      <c r="I2" s="299"/>
      <c r="L2" s="149"/>
    </row>
    <row r="3" spans="1:12" s="64" customFormat="1" x14ac:dyDescent="0.25">
      <c r="B3" s="151" t="s">
        <v>176</v>
      </c>
      <c r="C3" s="291" t="s">
        <v>177</v>
      </c>
      <c r="D3" s="291"/>
      <c r="E3" s="291"/>
      <c r="F3" s="291"/>
      <c r="G3" s="291"/>
      <c r="H3" s="291"/>
      <c r="I3" s="291"/>
      <c r="L3" s="113"/>
    </row>
    <row r="4" spans="1:12" s="152" customFormat="1" ht="3.6" customHeight="1" x14ac:dyDescent="0.25">
      <c r="B4" s="153"/>
      <c r="C4" s="154"/>
      <c r="D4" s="154"/>
      <c r="E4" s="154"/>
      <c r="F4" s="154"/>
      <c r="G4" s="154"/>
      <c r="H4" s="154"/>
      <c r="I4" s="154"/>
      <c r="L4" s="155"/>
    </row>
    <row r="5" spans="1:12" x14ac:dyDescent="0.25">
      <c r="A5" s="293" t="s">
        <v>114</v>
      </c>
      <c r="B5" s="293"/>
      <c r="C5" s="291" t="s">
        <v>252</v>
      </c>
      <c r="D5" s="291"/>
      <c r="E5" s="291"/>
      <c r="F5" s="151" t="s">
        <v>116</v>
      </c>
      <c r="G5" s="298">
        <f ca="1">TODAY()</f>
        <v>44263</v>
      </c>
      <c r="H5" s="291"/>
      <c r="I5" s="291"/>
    </row>
    <row r="6" spans="1:12" s="156" customFormat="1" ht="3" customHeight="1" x14ac:dyDescent="0.25">
      <c r="A6" s="153"/>
      <c r="B6" s="153"/>
      <c r="C6" s="154"/>
      <c r="D6" s="154"/>
      <c r="E6" s="154"/>
      <c r="F6" s="153"/>
      <c r="G6" s="154"/>
      <c r="H6" s="154"/>
      <c r="I6" s="154"/>
      <c r="L6" s="155"/>
    </row>
    <row r="7" spans="1:12" x14ac:dyDescent="0.25">
      <c r="A7" s="293" t="s">
        <v>115</v>
      </c>
      <c r="B7" s="293"/>
      <c r="C7" s="291" t="s">
        <v>251</v>
      </c>
      <c r="D7" s="291"/>
      <c r="E7" s="291"/>
      <c r="F7" s="151" t="s">
        <v>117</v>
      </c>
      <c r="G7" s="291" t="s">
        <v>307</v>
      </c>
      <c r="H7" s="291"/>
      <c r="I7" s="291"/>
    </row>
    <row r="8" spans="1:12" s="156" customFormat="1" ht="3.6" customHeight="1" x14ac:dyDescent="0.25">
      <c r="A8" s="153"/>
      <c r="B8" s="153"/>
      <c r="C8" s="154"/>
      <c r="D8" s="154"/>
      <c r="E8" s="154"/>
      <c r="F8" s="153"/>
      <c r="G8" s="154"/>
      <c r="H8" s="154"/>
      <c r="I8" s="154"/>
      <c r="L8" s="155"/>
    </row>
    <row r="9" spans="1:12" x14ac:dyDescent="0.25">
      <c r="A9" s="295" t="s">
        <v>284</v>
      </c>
      <c r="B9" s="295"/>
      <c r="C9" s="295"/>
      <c r="D9" s="295"/>
      <c r="E9" s="295"/>
      <c r="F9" s="295"/>
      <c r="G9" s="295"/>
      <c r="H9" s="295"/>
      <c r="I9" s="295"/>
      <c r="J9" s="295"/>
    </row>
    <row r="10" spans="1:12" ht="3.6" customHeight="1" x14ac:dyDescent="0.25"/>
    <row r="11" spans="1:12" x14ac:dyDescent="0.25">
      <c r="A11" s="157" t="s">
        <v>47</v>
      </c>
      <c r="B11" s="158"/>
      <c r="C11" s="158"/>
      <c r="D11" s="158"/>
      <c r="E11" s="158"/>
      <c r="F11" s="158"/>
      <c r="G11" s="158"/>
      <c r="H11" s="158"/>
      <c r="I11" s="158"/>
      <c r="J11" s="158"/>
    </row>
    <row r="13" spans="1:12" x14ac:dyDescent="0.25">
      <c r="A13" s="6" t="s">
        <v>23</v>
      </c>
      <c r="D13" s="64" t="s">
        <v>24</v>
      </c>
      <c r="E13" s="159"/>
      <c r="F13" s="6" t="s">
        <v>25</v>
      </c>
    </row>
    <row r="14" spans="1:12" x14ac:dyDescent="0.25">
      <c r="E14" s="159"/>
      <c r="F14" s="6" t="s">
        <v>26</v>
      </c>
    </row>
    <row r="15" spans="1:12" s="156" customFormat="1" ht="3.6" customHeight="1" x14ac:dyDescent="0.25">
      <c r="E15" s="155"/>
      <c r="L15" s="155"/>
    </row>
    <row r="16" spans="1:12" x14ac:dyDescent="0.25">
      <c r="F16" s="159"/>
      <c r="G16" s="6" t="s">
        <v>185</v>
      </c>
    </row>
    <row r="18" spans="1:13" x14ac:dyDescent="0.25">
      <c r="A18" s="6" t="s">
        <v>28</v>
      </c>
      <c r="D18" s="64" t="s">
        <v>29</v>
      </c>
      <c r="E18" s="159"/>
      <c r="F18" s="64" t="s">
        <v>31</v>
      </c>
      <c r="G18" s="159"/>
      <c r="H18" s="160"/>
      <c r="I18" s="160"/>
    </row>
    <row r="19" spans="1:13" x14ac:dyDescent="0.25">
      <c r="A19" s="6" t="s">
        <v>266</v>
      </c>
      <c r="D19" s="64" t="s">
        <v>30</v>
      </c>
      <c r="E19" s="159"/>
      <c r="F19" s="64" t="s">
        <v>32</v>
      </c>
      <c r="G19" s="159"/>
      <c r="H19" s="160"/>
      <c r="I19" s="160"/>
    </row>
    <row r="21" spans="1:13" x14ac:dyDescent="0.25">
      <c r="A21" s="6" t="s">
        <v>33</v>
      </c>
    </row>
    <row r="22" spans="1:13" x14ac:dyDescent="0.25">
      <c r="A22" s="292"/>
      <c r="B22" s="292"/>
      <c r="C22" s="292"/>
      <c r="D22" s="292"/>
      <c r="E22" s="292"/>
      <c r="F22" s="292"/>
      <c r="G22" s="292"/>
      <c r="H22" s="292"/>
      <c r="I22" s="292"/>
      <c r="J22" s="292"/>
    </row>
    <row r="24" spans="1:13" x14ac:dyDescent="0.25">
      <c r="A24" s="6" t="s">
        <v>34</v>
      </c>
      <c r="D24" s="64" t="s">
        <v>35</v>
      </c>
      <c r="E24" s="159"/>
      <c r="G24" s="64" t="s">
        <v>36</v>
      </c>
      <c r="H24" s="159"/>
    </row>
    <row r="25" spans="1:13" x14ac:dyDescent="0.25">
      <c r="A25" s="6" t="s">
        <v>266</v>
      </c>
      <c r="D25" s="64" t="s">
        <v>37</v>
      </c>
      <c r="E25" s="159"/>
      <c r="G25" s="64" t="s">
        <v>38</v>
      </c>
      <c r="H25" s="159"/>
    </row>
    <row r="26" spans="1:13" s="156" customFormat="1" ht="3" customHeight="1" x14ac:dyDescent="0.25">
      <c r="D26" s="152"/>
      <c r="E26" s="155"/>
      <c r="G26" s="152"/>
      <c r="H26" s="155"/>
      <c r="L26" s="155"/>
    </row>
    <row r="27" spans="1:13" x14ac:dyDescent="0.25">
      <c r="A27" s="6" t="s">
        <v>102</v>
      </c>
      <c r="C27" s="292"/>
      <c r="D27" s="292"/>
      <c r="E27" s="292"/>
      <c r="F27" s="292"/>
      <c r="G27" s="292"/>
      <c r="H27" s="292"/>
      <c r="I27" s="292"/>
      <c r="J27" s="292"/>
    </row>
    <row r="28" spans="1:13" x14ac:dyDescent="0.25">
      <c r="L28" s="161" t="s">
        <v>265</v>
      </c>
    </row>
    <row r="29" spans="1:13" x14ac:dyDescent="0.25">
      <c r="A29" s="6" t="s">
        <v>39</v>
      </c>
      <c r="C29" s="155">
        <f>IF(L29=0,'DE_1 - Watershed Info'!C44,L29)</f>
        <v>1</v>
      </c>
      <c r="D29" s="6" t="s">
        <v>40</v>
      </c>
      <c r="E29" s="162" t="str">
        <f>IF(L29&gt;0,"MANUAL"," ")</f>
        <v xml:space="preserve"> </v>
      </c>
      <c r="L29" s="163"/>
      <c r="M29" s="6" t="s">
        <v>268</v>
      </c>
    </row>
    <row r="31" spans="1:13" x14ac:dyDescent="0.25">
      <c r="A31" s="6" t="s">
        <v>44</v>
      </c>
      <c r="E31" s="285"/>
      <c r="F31" s="6" t="s">
        <v>41</v>
      </c>
      <c r="G31" s="6" t="str">
        <f>IF(L5&gt;0,"MANUAL"," ")</f>
        <v xml:space="preserve"> </v>
      </c>
    </row>
    <row r="33" spans="1:12" x14ac:dyDescent="0.25">
      <c r="A33" s="6" t="s">
        <v>42</v>
      </c>
      <c r="D33" s="159"/>
      <c r="E33" s="6" t="s">
        <v>43</v>
      </c>
    </row>
    <row r="35" spans="1:12" x14ac:dyDescent="0.25">
      <c r="A35" s="6" t="s">
        <v>45</v>
      </c>
      <c r="E35" s="159"/>
      <c r="F35" s="6" t="s">
        <v>46</v>
      </c>
    </row>
    <row r="37" spans="1:12" x14ac:dyDescent="0.25">
      <c r="A37" s="6" t="s">
        <v>73</v>
      </c>
      <c r="E37" s="159"/>
      <c r="F37" s="6" t="s">
        <v>46</v>
      </c>
    </row>
    <row r="38" spans="1:12" x14ac:dyDescent="0.25">
      <c r="A38" s="6" t="s">
        <v>184</v>
      </c>
      <c r="E38" s="159"/>
      <c r="F38" s="6" t="s">
        <v>46</v>
      </c>
    </row>
    <row r="39" spans="1:12" s="156" customFormat="1" ht="3.6" customHeight="1" x14ac:dyDescent="0.25">
      <c r="E39" s="155"/>
      <c r="L39" s="155"/>
    </row>
    <row r="40" spans="1:12" x14ac:dyDescent="0.25">
      <c r="A40" s="6" t="s">
        <v>224</v>
      </c>
      <c r="E40" s="159"/>
      <c r="F40" s="6" t="s">
        <v>46</v>
      </c>
    </row>
    <row r="41" spans="1:12" x14ac:dyDescent="0.25">
      <c r="A41" s="6" t="s">
        <v>225</v>
      </c>
      <c r="E41" s="159"/>
      <c r="F41" s="6" t="s">
        <v>46</v>
      </c>
    </row>
    <row r="43" spans="1:12" x14ac:dyDescent="0.25">
      <c r="A43" s="164" t="s">
        <v>48</v>
      </c>
      <c r="B43" s="165"/>
      <c r="C43" s="165"/>
      <c r="D43" s="165"/>
      <c r="E43" s="165"/>
      <c r="F43" s="165"/>
      <c r="G43" s="165"/>
      <c r="H43" s="165"/>
      <c r="I43" s="165"/>
      <c r="J43" s="165"/>
    </row>
    <row r="45" spans="1:12" x14ac:dyDescent="0.25">
      <c r="A45" s="6" t="s">
        <v>49</v>
      </c>
      <c r="C45" s="166"/>
      <c r="D45" s="6" t="s">
        <v>50</v>
      </c>
      <c r="E45" s="166"/>
      <c r="F45" s="6" t="s">
        <v>51</v>
      </c>
      <c r="H45" s="166"/>
      <c r="I45" s="6" t="s">
        <v>52</v>
      </c>
    </row>
    <row r="46" spans="1:12" s="156" customFormat="1" ht="3.6" customHeight="1" x14ac:dyDescent="0.25">
      <c r="A46" s="296" t="s">
        <v>266</v>
      </c>
      <c r="B46" s="296"/>
      <c r="C46" s="155"/>
      <c r="E46" s="155"/>
      <c r="H46" s="155"/>
      <c r="L46" s="155"/>
    </row>
    <row r="47" spans="1:12" x14ac:dyDescent="0.25">
      <c r="A47" s="296"/>
      <c r="B47" s="296"/>
      <c r="C47" s="166"/>
      <c r="D47" s="6" t="s">
        <v>38</v>
      </c>
      <c r="E47" s="294"/>
      <c r="F47" s="294"/>
      <c r="G47" s="294"/>
      <c r="H47" s="294"/>
      <c r="I47" s="294"/>
      <c r="J47" s="294"/>
    </row>
    <row r="48" spans="1:12" x14ac:dyDescent="0.25">
      <c r="A48" s="296"/>
      <c r="B48" s="296"/>
    </row>
    <row r="49" spans="1:12" x14ac:dyDescent="0.25">
      <c r="C49" s="113" t="s">
        <v>186</v>
      </c>
    </row>
    <row r="50" spans="1:12" x14ac:dyDescent="0.25">
      <c r="A50" s="6" t="s">
        <v>187</v>
      </c>
      <c r="C50" s="166"/>
      <c r="D50" s="64" t="s">
        <v>188</v>
      </c>
      <c r="E50" s="294"/>
      <c r="F50" s="294"/>
      <c r="G50" s="294"/>
      <c r="H50" s="294"/>
      <c r="I50" s="294"/>
      <c r="J50" s="294"/>
    </row>
    <row r="51" spans="1:12" x14ac:dyDescent="0.25">
      <c r="A51" s="6" t="s">
        <v>53</v>
      </c>
      <c r="C51" s="166"/>
    </row>
    <row r="52" spans="1:12" x14ac:dyDescent="0.25">
      <c r="A52" s="6" t="s">
        <v>54</v>
      </c>
      <c r="C52" s="166"/>
      <c r="D52" s="64" t="s">
        <v>55</v>
      </c>
      <c r="E52" s="166"/>
      <c r="F52" s="6" t="s">
        <v>101</v>
      </c>
    </row>
    <row r="53" spans="1:12" x14ac:dyDescent="0.25">
      <c r="A53" s="1" t="s">
        <v>320</v>
      </c>
      <c r="C53" s="166"/>
      <c r="D53" s="64"/>
      <c r="E53" s="155"/>
      <c r="L53" s="269"/>
    </row>
    <row r="54" spans="1:12" x14ac:dyDescent="0.25">
      <c r="A54" s="1" t="s">
        <v>321</v>
      </c>
      <c r="C54" s="166"/>
      <c r="D54" s="64"/>
      <c r="E54" s="155"/>
      <c r="L54" s="269"/>
    </row>
    <row r="55" spans="1:12" x14ac:dyDescent="0.25">
      <c r="A55" s="6" t="s">
        <v>56</v>
      </c>
      <c r="C55" s="166"/>
    </row>
    <row r="56" spans="1:12" x14ac:dyDescent="0.25">
      <c r="A56" s="1" t="s">
        <v>322</v>
      </c>
      <c r="C56" s="166"/>
      <c r="L56" s="269"/>
    </row>
    <row r="57" spans="1:12" x14ac:dyDescent="0.25">
      <c r="A57" s="6" t="s">
        <v>57</v>
      </c>
      <c r="C57" s="166"/>
    </row>
    <row r="58" spans="1:12" x14ac:dyDescent="0.25">
      <c r="A58" s="6" t="s">
        <v>327</v>
      </c>
      <c r="C58" s="166"/>
    </row>
    <row r="59" spans="1:12" x14ac:dyDescent="0.25">
      <c r="A59" s="6" t="s">
        <v>58</v>
      </c>
      <c r="C59" s="166"/>
    </row>
    <row r="61" spans="1:12" x14ac:dyDescent="0.25">
      <c r="A61" s="6" t="s">
        <v>267</v>
      </c>
      <c r="D61" s="294"/>
      <c r="E61" s="294"/>
      <c r="F61" s="294"/>
      <c r="G61" s="294"/>
      <c r="H61" s="294"/>
      <c r="I61" s="294"/>
      <c r="J61" s="294"/>
    </row>
    <row r="62" spans="1:12" x14ac:dyDescent="0.25">
      <c r="A62" s="6" t="s">
        <v>247</v>
      </c>
      <c r="F62" s="290"/>
      <c r="G62" s="290"/>
      <c r="H62" s="290"/>
      <c r="I62" s="290"/>
      <c r="J62" s="290"/>
      <c r="K62" s="167"/>
    </row>
    <row r="63" spans="1:12" x14ac:dyDescent="0.25">
      <c r="F63" s="290"/>
      <c r="G63" s="290"/>
      <c r="H63" s="290"/>
      <c r="I63" s="290"/>
      <c r="J63" s="290"/>
      <c r="K63" s="167"/>
    </row>
    <row r="65" spans="1:10" x14ac:dyDescent="0.25">
      <c r="A65" s="6" t="s">
        <v>59</v>
      </c>
      <c r="C65" s="6" t="s">
        <v>60</v>
      </c>
      <c r="E65" s="166"/>
      <c r="F65" s="6" t="s">
        <v>62</v>
      </c>
    </row>
    <row r="66" spans="1:10" x14ac:dyDescent="0.25">
      <c r="C66" s="6" t="s">
        <v>61</v>
      </c>
      <c r="E66" s="166"/>
      <c r="F66" s="6" t="s">
        <v>66</v>
      </c>
    </row>
    <row r="67" spans="1:10" x14ac:dyDescent="0.25">
      <c r="C67" s="6" t="s">
        <v>63</v>
      </c>
      <c r="E67" s="166"/>
      <c r="F67" s="6" t="s">
        <v>67</v>
      </c>
    </row>
    <row r="68" spans="1:10" x14ac:dyDescent="0.25">
      <c r="C68" s="6" t="s">
        <v>64</v>
      </c>
      <c r="E68" s="166"/>
      <c r="F68" s="6" t="s">
        <v>65</v>
      </c>
    </row>
    <row r="69" spans="1:10" x14ac:dyDescent="0.25">
      <c r="C69" s="6" t="s">
        <v>68</v>
      </c>
      <c r="E69" s="166"/>
      <c r="F69" s="6" t="s">
        <v>69</v>
      </c>
    </row>
    <row r="70" spans="1:10" x14ac:dyDescent="0.25">
      <c r="C70" s="6" t="s">
        <v>70</v>
      </c>
      <c r="E70" s="166"/>
      <c r="F70" s="6" t="s">
        <v>72</v>
      </c>
    </row>
    <row r="71" spans="1:10" ht="14.25" thickBot="1" x14ac:dyDescent="0.3"/>
    <row r="72" spans="1:10" ht="16.5" x14ac:dyDescent="0.3">
      <c r="A72" s="275" t="s">
        <v>303</v>
      </c>
      <c r="B72" s="275"/>
      <c r="C72" s="275"/>
      <c r="D72" s="275"/>
      <c r="E72" s="275"/>
      <c r="F72" s="275"/>
      <c r="G72" s="275"/>
      <c r="H72" s="275"/>
      <c r="I72" s="275"/>
      <c r="J72" s="275"/>
    </row>
    <row r="73" spans="1:10" ht="16.5" x14ac:dyDescent="0.3">
      <c r="A73" s="118" t="s">
        <v>304</v>
      </c>
      <c r="B73" s="118"/>
      <c r="C73" s="118"/>
      <c r="D73" s="118"/>
      <c r="E73" s="118"/>
      <c r="F73" s="118"/>
      <c r="G73" s="118"/>
      <c r="H73" s="118"/>
      <c r="I73" s="118"/>
      <c r="J73" s="124" t="s">
        <v>330</v>
      </c>
    </row>
  </sheetData>
  <sheetProtection algorithmName="SHA-512" hashValue="TZElYNS6nlyYimrScPchmRwChUtrQH0xVCG2YSPKjalKsHtf0/EQtUwNbHf+K0vkAxv8SljUIMaipJSa3Ee/aQ==" saltValue="9fNWudjNbH/s3OwW9i1ScQ==" spinCount="100000" sheet="1" objects="1" scenarios="1" selectLockedCells="1"/>
  <mergeCells count="17">
    <mergeCell ref="A1:I1"/>
    <mergeCell ref="C5:E5"/>
    <mergeCell ref="C7:E7"/>
    <mergeCell ref="G5:I5"/>
    <mergeCell ref="G7:I7"/>
    <mergeCell ref="A2:I2"/>
    <mergeCell ref="F62:J63"/>
    <mergeCell ref="C3:I3"/>
    <mergeCell ref="C27:J27"/>
    <mergeCell ref="A22:J22"/>
    <mergeCell ref="A5:B5"/>
    <mergeCell ref="A7:B7"/>
    <mergeCell ref="E47:J47"/>
    <mergeCell ref="E50:J50"/>
    <mergeCell ref="A9:J9"/>
    <mergeCell ref="A46:B48"/>
    <mergeCell ref="D61:J61"/>
  </mergeCells>
  <printOptions horizontalCentered="1" verticalCentered="1"/>
  <pageMargins left="0.25" right="0.25" top="0.75" bottom="0.75" header="0.3" footer="0.3"/>
  <pageSetup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L78"/>
  <sheetViews>
    <sheetView showZeros="0" view="pageBreakPreview" zoomScaleNormal="100" zoomScaleSheetLayoutView="100" workbookViewId="0">
      <selection activeCell="F15" sqref="F15"/>
    </sheetView>
  </sheetViews>
  <sheetFormatPr defaultColWidth="8.85546875" defaultRowHeight="13.5" x14ac:dyDescent="0.25"/>
  <cols>
    <col min="1" max="1" width="17.140625" style="6" customWidth="1"/>
    <col min="2" max="9" width="9.28515625" style="6" customWidth="1"/>
    <col min="10" max="10" width="8.85546875" style="6"/>
    <col min="11" max="11" width="14.28515625" style="6" customWidth="1"/>
    <col min="12" max="12" width="23.5703125" style="6" customWidth="1"/>
    <col min="13" max="16384" width="8.85546875" style="6"/>
  </cols>
  <sheetData>
    <row r="1" spans="1:12" s="150" customFormat="1" ht="12.75" x14ac:dyDescent="0.2">
      <c r="A1" s="297" t="s">
        <v>113</v>
      </c>
      <c r="B1" s="297"/>
      <c r="C1" s="297"/>
      <c r="D1" s="297"/>
      <c r="E1" s="297"/>
      <c r="F1" s="297"/>
      <c r="G1" s="297"/>
      <c r="H1" s="297"/>
      <c r="I1" s="297"/>
    </row>
    <row r="2" spans="1:12" s="150" customFormat="1" ht="12.75" x14ac:dyDescent="0.2">
      <c r="A2" s="299" t="s">
        <v>190</v>
      </c>
      <c r="B2" s="299"/>
      <c r="C2" s="299"/>
      <c r="D2" s="299"/>
      <c r="E2" s="299"/>
      <c r="F2" s="299"/>
      <c r="G2" s="299"/>
      <c r="H2" s="299"/>
      <c r="I2" s="299"/>
    </row>
    <row r="3" spans="1:12" s="64" customFormat="1" x14ac:dyDescent="0.25">
      <c r="B3" s="151" t="s">
        <v>176</v>
      </c>
      <c r="C3" s="301" t="str">
        <f>'CL_1 - Site Screening'!C3</f>
        <v>Project Name</v>
      </c>
      <c r="D3" s="301"/>
      <c r="E3" s="301"/>
      <c r="F3" s="301"/>
      <c r="G3" s="301"/>
      <c r="H3" s="301"/>
      <c r="I3" s="301"/>
    </row>
    <row r="4" spans="1:12" s="152" customFormat="1" ht="3.6" customHeight="1" x14ac:dyDescent="0.25">
      <c r="B4" s="153"/>
      <c r="C4" s="154"/>
      <c r="D4" s="154"/>
      <c r="E4" s="154"/>
      <c r="F4" s="154"/>
      <c r="G4" s="154"/>
      <c r="H4" s="154"/>
      <c r="I4" s="154"/>
    </row>
    <row r="5" spans="1:12" x14ac:dyDescent="0.25">
      <c r="A5" s="293" t="s">
        <v>114</v>
      </c>
      <c r="B5" s="293"/>
      <c r="C5" s="301" t="str">
        <f>'CL_1 - Site Screening'!C5</f>
        <v>Applicant name</v>
      </c>
      <c r="D5" s="301"/>
      <c r="E5" s="301"/>
      <c r="F5" s="153" t="s">
        <v>116</v>
      </c>
      <c r="G5" s="302">
        <f ca="1">'CL_1 - Site Screening'!G5</f>
        <v>44263</v>
      </c>
      <c r="H5" s="301"/>
      <c r="I5" s="301"/>
    </row>
    <row r="6" spans="1:12" ht="3.6" customHeight="1" x14ac:dyDescent="0.25">
      <c r="A6" s="151"/>
      <c r="B6" s="151"/>
      <c r="C6" s="154"/>
      <c r="D6" s="154"/>
      <c r="E6" s="154"/>
      <c r="F6" s="153"/>
      <c r="G6" s="168"/>
      <c r="H6" s="154"/>
      <c r="I6" s="154"/>
    </row>
    <row r="7" spans="1:12" x14ac:dyDescent="0.25">
      <c r="A7" s="300" t="s">
        <v>240</v>
      </c>
      <c r="B7" s="300"/>
      <c r="C7" s="300"/>
      <c r="D7" s="300"/>
      <c r="E7" s="300"/>
      <c r="F7" s="300"/>
      <c r="G7" s="300"/>
      <c r="H7" s="300"/>
      <c r="I7" s="300"/>
      <c r="J7" s="169"/>
    </row>
    <row r="8" spans="1:12" ht="3.6" customHeight="1" x14ac:dyDescent="0.25">
      <c r="A8" s="170"/>
      <c r="B8" s="170"/>
      <c r="C8" s="170"/>
      <c r="D8" s="170"/>
      <c r="E8" s="170"/>
      <c r="F8" s="170"/>
      <c r="G8" s="170"/>
      <c r="H8" s="170"/>
      <c r="I8" s="170"/>
      <c r="J8" s="170"/>
    </row>
    <row r="9" spans="1:12" ht="12" customHeight="1" x14ac:dyDescent="0.25">
      <c r="A9" s="171" t="s">
        <v>191</v>
      </c>
      <c r="B9" s="172"/>
      <c r="C9" s="172"/>
      <c r="D9" s="172"/>
      <c r="E9" s="172"/>
      <c r="F9" s="172"/>
      <c r="G9" s="172"/>
      <c r="H9" s="172"/>
      <c r="I9" s="172"/>
      <c r="J9" s="170"/>
    </row>
    <row r="10" spans="1:12" ht="12" customHeight="1" x14ac:dyDescent="0.25">
      <c r="A10" s="170"/>
      <c r="B10" s="170"/>
      <c r="C10" s="170"/>
      <c r="D10" s="170"/>
      <c r="E10" s="170"/>
      <c r="F10" s="170"/>
      <c r="G10" s="170"/>
      <c r="H10" s="170"/>
      <c r="I10" s="170"/>
      <c r="J10" s="170"/>
      <c r="K10" s="173" t="s">
        <v>265</v>
      </c>
      <c r="L10" s="174"/>
    </row>
    <row r="11" spans="1:12" ht="12" customHeight="1" x14ac:dyDescent="0.25">
      <c r="A11" s="175" t="s">
        <v>90</v>
      </c>
      <c r="B11" s="170" t="s">
        <v>192</v>
      </c>
      <c r="C11" s="176">
        <f>IF(K11=0,'DE_1 - Watershed Info'!F45,K11)</f>
        <v>2268.7499999999995</v>
      </c>
      <c r="D11" s="6" t="s">
        <v>97</v>
      </c>
      <c r="E11" s="170" t="s">
        <v>193</v>
      </c>
      <c r="F11" s="176">
        <f>'Step 5-7 Final Storage Volumes'!G52+MIN('Step 4 - Pre-treat'!B8,('Step 4 - Pre-treat'!B9+'Step 4 - Pre-treat'!D47))</f>
        <v>0</v>
      </c>
      <c r="G11" s="170" t="s">
        <v>206</v>
      </c>
      <c r="H11" s="84">
        <f>IF(F11=0,0,IF(F11/C11&gt;=1,"OK","!"))</f>
        <v>0</v>
      </c>
      <c r="I11" s="162" t="str">
        <f>IF(K11&gt;0,"MANUAL"," ")</f>
        <v xml:space="preserve"> </v>
      </c>
      <c r="J11" s="170"/>
      <c r="K11" s="177">
        <v>0</v>
      </c>
      <c r="L11" s="38" t="s">
        <v>269</v>
      </c>
    </row>
    <row r="12" spans="1:12" ht="12" customHeight="1" x14ac:dyDescent="0.25">
      <c r="A12" s="175" t="s">
        <v>205</v>
      </c>
      <c r="B12" s="170" t="s">
        <v>192</v>
      </c>
      <c r="C12" s="176">
        <f>IF(K12=0,'Step 4 - Pre-treat'!B8,K12)</f>
        <v>226.87499999999997</v>
      </c>
      <c r="D12" s="6" t="s">
        <v>97</v>
      </c>
      <c r="E12" s="170" t="s">
        <v>193</v>
      </c>
      <c r="F12" s="176">
        <f>'Step 4 - Pre-treat'!D47+'Step 4 - Pre-treat'!B9</f>
        <v>0</v>
      </c>
      <c r="G12" s="170" t="s">
        <v>97</v>
      </c>
      <c r="H12" s="84">
        <f>IF(F12=0,0,IF(F12/C12&gt;=1,"OK","!"))</f>
        <v>0</v>
      </c>
      <c r="I12" s="162" t="str">
        <f>IF(K12&gt;0,"MANUAL"," ")</f>
        <v xml:space="preserve"> </v>
      </c>
      <c r="J12" s="170"/>
      <c r="K12" s="178">
        <v>0</v>
      </c>
      <c r="L12" s="40" t="s">
        <v>270</v>
      </c>
    </row>
    <row r="13" spans="1:12" s="182" customFormat="1" ht="12" customHeight="1" x14ac:dyDescent="0.25">
      <c r="A13" s="179" t="s">
        <v>207</v>
      </c>
      <c r="B13" s="180"/>
      <c r="C13" s="181"/>
      <c r="E13" s="180"/>
      <c r="F13" s="181"/>
      <c r="G13" s="180"/>
      <c r="H13" s="183"/>
      <c r="I13" s="180"/>
      <c r="J13" s="180"/>
    </row>
    <row r="14" spans="1:12" ht="12" customHeight="1" x14ac:dyDescent="0.25">
      <c r="A14" s="170" t="s">
        <v>211</v>
      </c>
      <c r="B14" s="170"/>
      <c r="C14" s="176"/>
      <c r="E14" s="170"/>
      <c r="F14" s="184"/>
      <c r="G14" s="170" t="s">
        <v>46</v>
      </c>
      <c r="H14" s="84"/>
      <c r="I14" s="170"/>
      <c r="J14" s="170"/>
    </row>
    <row r="15" spans="1:12" ht="12" customHeight="1" x14ac:dyDescent="0.25">
      <c r="A15" s="170"/>
      <c r="B15" s="170"/>
      <c r="C15" s="170"/>
      <c r="D15" s="170"/>
      <c r="E15" s="152" t="s">
        <v>298</v>
      </c>
      <c r="F15" s="263"/>
      <c r="G15" s="170" t="s">
        <v>97</v>
      </c>
      <c r="H15" s="170"/>
      <c r="I15" s="170"/>
      <c r="J15" s="170"/>
    </row>
    <row r="16" spans="1:12" ht="12" customHeight="1" x14ac:dyDescent="0.25">
      <c r="A16" s="170"/>
      <c r="B16" s="170"/>
      <c r="C16" s="170"/>
      <c r="D16" s="170"/>
      <c r="E16" s="170"/>
      <c r="F16" s="170"/>
      <c r="G16" s="170"/>
      <c r="H16" s="170"/>
      <c r="I16" s="170"/>
      <c r="J16" s="170"/>
    </row>
    <row r="17" spans="1:12" s="156" customFormat="1" ht="12" customHeight="1" x14ac:dyDescent="0.25">
      <c r="A17" s="185"/>
      <c r="B17" s="186" t="str">
        <f>IF(F14="Y","WQv"," ")</f>
        <v xml:space="preserve"> </v>
      </c>
      <c r="C17" s="186" t="s">
        <v>194</v>
      </c>
      <c r="D17" s="186" t="s">
        <v>195</v>
      </c>
      <c r="E17" s="186" t="s">
        <v>196</v>
      </c>
      <c r="F17" s="186" t="s">
        <v>197</v>
      </c>
      <c r="G17" s="186" t="s">
        <v>198</v>
      </c>
      <c r="H17" s="186" t="s">
        <v>199</v>
      </c>
      <c r="I17" s="186" t="s">
        <v>200</v>
      </c>
      <c r="J17" s="170"/>
    </row>
    <row r="18" spans="1:12" ht="12" customHeight="1" x14ac:dyDescent="0.25">
      <c r="A18" s="175" t="s">
        <v>201</v>
      </c>
      <c r="B18" s="187">
        <f>IF(F14="Y",'Step 9 - Results'!B13,0)</f>
        <v>0</v>
      </c>
      <c r="C18" s="187">
        <f>'Step 9 - Results'!B14</f>
        <v>0</v>
      </c>
      <c r="D18" s="187">
        <f>'Step 9 - Results'!B15</f>
        <v>0</v>
      </c>
      <c r="E18" s="187">
        <f>'Step 9 - Results'!B16</f>
        <v>0</v>
      </c>
      <c r="F18" s="187">
        <f>'Step 9 - Results'!B17</f>
        <v>0</v>
      </c>
      <c r="G18" s="187">
        <f>'Step 9 - Results'!B18</f>
        <v>0</v>
      </c>
      <c r="H18" s="187">
        <f>'Step 9 - Results'!B19</f>
        <v>0</v>
      </c>
      <c r="I18" s="187">
        <f>'Step 9 - Results'!B20</f>
        <v>0</v>
      </c>
      <c r="J18" s="170"/>
    </row>
    <row r="19" spans="1:12" ht="12" customHeight="1" x14ac:dyDescent="0.25">
      <c r="A19" s="175" t="s">
        <v>202</v>
      </c>
      <c r="B19" s="187">
        <f>IF(F14="Y",'Step 9 - Results'!C13,0)</f>
        <v>0</v>
      </c>
      <c r="C19" s="187">
        <f>'Step 9 - Results'!C14</f>
        <v>0</v>
      </c>
      <c r="D19" s="187">
        <f>'Step 9 - Results'!C15</f>
        <v>0</v>
      </c>
      <c r="E19" s="187">
        <f>'Step 9 - Results'!C16</f>
        <v>0</v>
      </c>
      <c r="F19" s="187">
        <f>'Step 9 - Results'!C17</f>
        <v>0</v>
      </c>
      <c r="G19" s="187">
        <f>'Step 9 - Results'!C18</f>
        <v>0</v>
      </c>
      <c r="H19" s="187">
        <f>'Step 9 - Results'!C19</f>
        <v>0</v>
      </c>
      <c r="I19" s="187">
        <f>'Step 9 - Results'!C20</f>
        <v>0</v>
      </c>
      <c r="J19" s="170"/>
    </row>
    <row r="20" spans="1:12" ht="3.6" customHeight="1" x14ac:dyDescent="0.25">
      <c r="A20" s="175"/>
      <c r="B20" s="187"/>
      <c r="C20" s="187"/>
      <c r="D20" s="187"/>
      <c r="E20" s="187"/>
      <c r="F20" s="187"/>
      <c r="G20" s="187"/>
      <c r="H20" s="187"/>
      <c r="I20" s="187"/>
      <c r="J20" s="170"/>
    </row>
    <row r="21" spans="1:12" ht="12" customHeight="1" x14ac:dyDescent="0.25">
      <c r="A21" s="175" t="s">
        <v>203</v>
      </c>
      <c r="B21" s="84">
        <f>IF(F14="N",0,IF(F14=0,0,IF(B19&gt;B18,"!","OK")))</f>
        <v>0</v>
      </c>
      <c r="C21" s="84">
        <f t="shared" ref="C21:I21" si="0">IF(C18=0,0,IF(C19&gt;C18,"!","OK"))</f>
        <v>0</v>
      </c>
      <c r="D21" s="84">
        <f t="shared" si="0"/>
        <v>0</v>
      </c>
      <c r="E21" s="84">
        <f t="shared" si="0"/>
        <v>0</v>
      </c>
      <c r="F21" s="84">
        <f t="shared" si="0"/>
        <v>0</v>
      </c>
      <c r="G21" s="84">
        <f t="shared" si="0"/>
        <v>0</v>
      </c>
      <c r="H21" s="84">
        <f t="shared" si="0"/>
        <v>0</v>
      </c>
      <c r="I21" s="84">
        <f t="shared" si="0"/>
        <v>0</v>
      </c>
      <c r="J21" s="170"/>
    </row>
    <row r="22" spans="1:12" ht="12" customHeight="1" x14ac:dyDescent="0.25">
      <c r="A22" s="170"/>
      <c r="B22" s="170"/>
      <c r="C22" s="170"/>
      <c r="D22" s="170"/>
      <c r="E22" s="170"/>
      <c r="F22" s="170"/>
      <c r="G22" s="170"/>
      <c r="H22" s="170"/>
      <c r="I22" s="170"/>
      <c r="J22" s="170"/>
    </row>
    <row r="23" spans="1:12" ht="12" customHeight="1" x14ac:dyDescent="0.25">
      <c r="A23" s="188"/>
      <c r="B23" s="189"/>
      <c r="C23" s="189"/>
      <c r="D23" s="190" t="s">
        <v>194</v>
      </c>
      <c r="E23" s="186" t="s">
        <v>197</v>
      </c>
      <c r="F23" s="186" t="s">
        <v>200</v>
      </c>
      <c r="G23" s="170"/>
      <c r="H23" s="170"/>
      <c r="I23" s="170"/>
      <c r="J23" s="170"/>
      <c r="K23" s="173" t="s">
        <v>265</v>
      </c>
      <c r="L23" s="174"/>
    </row>
    <row r="24" spans="1:12" ht="12" customHeight="1" x14ac:dyDescent="0.25">
      <c r="A24" s="170" t="s">
        <v>248</v>
      </c>
      <c r="D24" s="191">
        <f>IF(K25=0,'Step 9 - Results'!D14-I24,K25-K24)</f>
        <v>0</v>
      </c>
      <c r="E24" s="191">
        <f>IF(K26=0,'Step 9 - Results'!D17-I24,K26-K24)</f>
        <v>0</v>
      </c>
      <c r="F24" s="191">
        <f>IF(K27=0,'Step 9 - Results'!D20-'CL_2 - Design Summary'!I24,K27-K24)</f>
        <v>0</v>
      </c>
      <c r="G24" s="170" t="s">
        <v>204</v>
      </c>
      <c r="H24" s="170"/>
      <c r="I24" s="21">
        <f>IF(K24=0,'Step 5-7 Final Storage Volumes'!G5,K24)</f>
        <v>0</v>
      </c>
      <c r="J24" s="170"/>
      <c r="K24" s="279"/>
      <c r="L24" s="174" t="s">
        <v>204</v>
      </c>
    </row>
    <row r="25" spans="1:12" ht="12" customHeight="1" x14ac:dyDescent="0.25">
      <c r="A25" s="170"/>
      <c r="B25" s="170"/>
      <c r="C25" s="170"/>
      <c r="D25" s="84">
        <f>IF(D24=0,0,IF(D24&lt;=2.5,"OK","!"))</f>
        <v>0</v>
      </c>
      <c r="E25" s="84">
        <f>IF(E24=0,0,IF(E24&lt;=4,"OK","!"))</f>
        <v>0</v>
      </c>
      <c r="F25" s="84">
        <f>IF(F24=0,0,IF(F24&lt;=6,"OK","!"))</f>
        <v>0</v>
      </c>
      <c r="G25" s="170"/>
      <c r="H25" s="170"/>
      <c r="I25" s="162" t="str">
        <f>IF(K24&gt;0,"MANUAL"," ")</f>
        <v xml:space="preserve"> </v>
      </c>
      <c r="J25" s="170"/>
      <c r="K25" s="279"/>
      <c r="L25" s="174" t="s">
        <v>271</v>
      </c>
    </row>
    <row r="26" spans="1:12" ht="12" customHeight="1" x14ac:dyDescent="0.25">
      <c r="A26" s="170"/>
      <c r="B26" s="170"/>
      <c r="C26" s="170"/>
      <c r="D26" s="162" t="str">
        <f>IF(K25&gt;0,"MANUAL"," ")</f>
        <v xml:space="preserve"> </v>
      </c>
      <c r="E26" s="162" t="str">
        <f>IF(K26&gt;0,"MANUAL"," ")</f>
        <v xml:space="preserve"> </v>
      </c>
      <c r="F26" s="162" t="str">
        <f>IF(K27&gt;0,"MANUAL"," ")</f>
        <v xml:space="preserve"> </v>
      </c>
      <c r="G26" s="170"/>
      <c r="H26" s="170"/>
      <c r="I26" s="170"/>
      <c r="J26" s="170"/>
      <c r="K26" s="279"/>
      <c r="L26" s="174" t="s">
        <v>272</v>
      </c>
    </row>
    <row r="27" spans="1:12" ht="12" customHeight="1" x14ac:dyDescent="0.25">
      <c r="A27" s="192" t="s">
        <v>208</v>
      </c>
      <c r="B27" s="193"/>
      <c r="C27" s="193"/>
      <c r="D27" s="193"/>
      <c r="E27" s="193"/>
      <c r="F27" s="193"/>
      <c r="G27" s="193"/>
      <c r="H27" s="193"/>
      <c r="I27" s="193"/>
      <c r="J27" s="170"/>
      <c r="K27" s="279"/>
      <c r="L27" s="174" t="s">
        <v>273</v>
      </c>
    </row>
    <row r="28" spans="1:12" ht="12" customHeight="1" x14ac:dyDescent="0.25">
      <c r="A28" s="175"/>
      <c r="B28" s="170"/>
      <c r="C28" s="170"/>
      <c r="D28" s="170"/>
      <c r="E28" s="170"/>
      <c r="F28" s="170"/>
      <c r="G28" s="170"/>
      <c r="H28" s="170"/>
      <c r="I28" s="170"/>
      <c r="J28" s="170"/>
    </row>
    <row r="29" spans="1:12" ht="12" customHeight="1" x14ac:dyDescent="0.25">
      <c r="A29" s="175"/>
      <c r="B29" s="170"/>
      <c r="C29" s="170"/>
      <c r="D29" s="64" t="s">
        <v>222</v>
      </c>
      <c r="E29" s="194">
        <f>'Step 5-7 Final Storage Volumes'!C39/('CL_1 - Site Screening'!C29*43560)</f>
        <v>0</v>
      </c>
      <c r="F29" s="170" t="s">
        <v>223</v>
      </c>
      <c r="G29" s="170"/>
      <c r="H29" s="170"/>
      <c r="I29" s="170"/>
      <c r="J29" s="170"/>
    </row>
    <row r="30" spans="1:12" ht="12" customHeight="1" x14ac:dyDescent="0.25">
      <c r="A30" s="175"/>
      <c r="B30" s="170"/>
      <c r="C30" s="179" t="s">
        <v>221</v>
      </c>
      <c r="D30" s="64"/>
      <c r="E30" s="194"/>
      <c r="F30" s="170"/>
      <c r="G30" s="170"/>
      <c r="H30" s="170"/>
      <c r="I30" s="170"/>
      <c r="J30" s="170"/>
    </row>
    <row r="31" spans="1:12" ht="12" customHeight="1" x14ac:dyDescent="0.25">
      <c r="A31" s="175"/>
      <c r="B31" s="170"/>
      <c r="C31" s="170"/>
      <c r="D31" s="64"/>
      <c r="E31" s="194"/>
      <c r="F31" s="170"/>
      <c r="G31" s="170"/>
      <c r="H31" s="170"/>
      <c r="I31" s="170"/>
      <c r="J31" s="170"/>
    </row>
    <row r="32" spans="1:12" ht="12" customHeight="1" x14ac:dyDescent="0.25">
      <c r="B32" s="170"/>
      <c r="C32" s="170"/>
      <c r="D32" s="64" t="s">
        <v>144</v>
      </c>
      <c r="E32" s="66">
        <f>'Step 5-7 Final Storage Volumes'!E57</f>
        <v>0</v>
      </c>
      <c r="F32" s="6" t="s">
        <v>8</v>
      </c>
      <c r="G32" s="113">
        <f>IF(E32=0,0,IF(E32&gt;=E33,"OK",IF(E32&gt;=0.5,"ED","!")))</f>
        <v>0</v>
      </c>
      <c r="H32" s="170"/>
      <c r="I32" s="170"/>
      <c r="J32" s="170"/>
    </row>
    <row r="33" spans="1:10" ht="12" customHeight="1" x14ac:dyDescent="0.25">
      <c r="B33" s="170"/>
      <c r="C33" s="170"/>
      <c r="D33" s="2" t="s">
        <v>323</v>
      </c>
      <c r="E33" s="66" t="e">
        <f>'Step 5-7 Final Storage Volumes'!E58</f>
        <v>#DIV/0!</v>
      </c>
      <c r="F33" s="6" t="s">
        <v>8</v>
      </c>
      <c r="G33" s="269"/>
      <c r="H33" s="170"/>
      <c r="I33" s="170"/>
      <c r="J33" s="170"/>
    </row>
    <row r="34" spans="1:10" ht="12" customHeight="1" x14ac:dyDescent="0.25">
      <c r="A34" s="170"/>
      <c r="B34" s="170"/>
      <c r="C34" s="170"/>
      <c r="D34" s="113"/>
      <c r="E34" s="66"/>
      <c r="H34" s="170"/>
      <c r="I34" s="170"/>
      <c r="J34" s="170"/>
    </row>
    <row r="35" spans="1:10" ht="12" customHeight="1" x14ac:dyDescent="0.25">
      <c r="A35" s="170"/>
      <c r="B35" s="170"/>
      <c r="C35" s="170"/>
      <c r="D35" s="64" t="s">
        <v>6</v>
      </c>
      <c r="E35" s="66" t="e">
        <f>'Step 5-7 Final Storage Volumes'!E60</f>
        <v>#VALUE!</v>
      </c>
      <c r="F35" s="6" t="s">
        <v>8</v>
      </c>
      <c r="G35" s="113" t="e">
        <f>IF(E35&gt;=0.25,"OK","!")</f>
        <v>#VALUE!</v>
      </c>
      <c r="H35" s="170" t="s">
        <v>209</v>
      </c>
      <c r="I35" s="170"/>
      <c r="J35" s="170"/>
    </row>
    <row r="36" spans="1:10" s="156" customFormat="1" ht="12" customHeight="1" x14ac:dyDescent="0.25">
      <c r="A36" s="170"/>
      <c r="B36" s="170"/>
      <c r="C36" s="170"/>
      <c r="D36" s="64" t="s">
        <v>13</v>
      </c>
      <c r="E36" s="66" t="e">
        <f>'Step 5-7 Final Storage Volumes'!E61</f>
        <v>#VALUE!</v>
      </c>
      <c r="F36" s="6"/>
      <c r="G36" s="6"/>
      <c r="H36" s="170"/>
      <c r="I36" s="170"/>
      <c r="J36" s="170"/>
    </row>
    <row r="37" spans="1:10" ht="12" customHeight="1" x14ac:dyDescent="0.25">
      <c r="A37" s="170"/>
      <c r="B37" s="170"/>
      <c r="C37" s="170"/>
      <c r="D37" s="64" t="s">
        <v>14</v>
      </c>
      <c r="E37" s="66" t="e">
        <f>'Step 5-7 Final Storage Volumes'!E62</f>
        <v>#VALUE!</v>
      </c>
      <c r="H37" s="170"/>
      <c r="I37" s="170"/>
      <c r="J37" s="170"/>
    </row>
    <row r="38" spans="1:10" ht="12" customHeight="1" x14ac:dyDescent="0.25">
      <c r="A38" s="170"/>
      <c r="B38" s="170"/>
      <c r="C38" s="170"/>
      <c r="D38" s="64" t="s">
        <v>15</v>
      </c>
      <c r="E38" s="66" t="e">
        <f>'Step 5-7 Final Storage Volumes'!E63</f>
        <v>#VALUE!</v>
      </c>
      <c r="F38" s="6" t="s">
        <v>210</v>
      </c>
      <c r="G38" s="113" t="e">
        <f>IF(E38&lt;=0.2,"OK","!")</f>
        <v>#VALUE!</v>
      </c>
      <c r="H38" s="170" t="s">
        <v>16</v>
      </c>
      <c r="I38" s="170"/>
      <c r="J38" s="170"/>
    </row>
    <row r="39" spans="1:10" ht="12" customHeight="1" x14ac:dyDescent="0.25">
      <c r="A39" s="170"/>
      <c r="B39" s="170"/>
      <c r="C39" s="170"/>
      <c r="D39" s="64" t="s">
        <v>9</v>
      </c>
      <c r="E39" s="66" t="e">
        <f>'Step 5-7 Final Storage Volumes'!E64</f>
        <v>#DIV/0!</v>
      </c>
      <c r="F39" s="6" t="s">
        <v>210</v>
      </c>
      <c r="G39" s="113" t="e">
        <f>IF(E39&lt;=0.25,"OK","!")</f>
        <v>#DIV/0!</v>
      </c>
      <c r="H39" s="170" t="s">
        <v>11</v>
      </c>
      <c r="I39" s="170"/>
      <c r="J39" s="170"/>
    </row>
    <row r="40" spans="1:10" ht="12" customHeight="1" x14ac:dyDescent="0.25">
      <c r="A40" s="170"/>
      <c r="B40" s="170"/>
      <c r="C40" s="170"/>
      <c r="D40" s="64" t="s">
        <v>10</v>
      </c>
      <c r="E40" s="66" t="e">
        <f>'Step 5-7 Final Storage Volumes'!E65</f>
        <v>#DIV/0!</v>
      </c>
      <c r="F40" s="6" t="s">
        <v>210</v>
      </c>
      <c r="G40" s="113" t="e">
        <f>IF(E40&lt;=0.35,"OK","!")</f>
        <v>#DIV/0!</v>
      </c>
      <c r="H40" s="170" t="s">
        <v>12</v>
      </c>
      <c r="I40" s="170"/>
      <c r="J40" s="170"/>
    </row>
    <row r="41" spans="1:10" ht="12" customHeight="1" x14ac:dyDescent="0.25">
      <c r="A41" s="170"/>
      <c r="B41" s="170"/>
      <c r="C41" s="170"/>
      <c r="D41" s="64"/>
      <c r="E41" s="66"/>
      <c r="G41" s="113"/>
      <c r="H41" s="170"/>
      <c r="I41" s="170"/>
      <c r="J41" s="170"/>
    </row>
    <row r="42" spans="1:10" ht="12" customHeight="1" x14ac:dyDescent="0.25">
      <c r="A42" s="170"/>
      <c r="D42" s="152" t="s">
        <v>144</v>
      </c>
      <c r="E42" s="195">
        <f>'Step 5-7 Final Storage Volumes'!E52</f>
        <v>0</v>
      </c>
      <c r="F42" s="66" t="s">
        <v>219</v>
      </c>
      <c r="G42" s="113"/>
      <c r="H42" s="170"/>
      <c r="I42" s="170"/>
      <c r="J42" s="170"/>
    </row>
    <row r="43" spans="1:10" ht="12" customHeight="1" x14ac:dyDescent="0.25">
      <c r="A43" s="170"/>
      <c r="C43" s="170"/>
      <c r="D43" s="152" t="s">
        <v>22</v>
      </c>
      <c r="E43" s="195">
        <f>'Step 5-7 Final Storage Volumes'!E53</f>
        <v>0</v>
      </c>
      <c r="F43" s="66" t="s">
        <v>219</v>
      </c>
      <c r="G43" s="113"/>
      <c r="H43" s="170"/>
      <c r="I43" s="170"/>
      <c r="J43" s="170"/>
    </row>
    <row r="44" spans="1:10" ht="12" customHeight="1" x14ac:dyDescent="0.25">
      <c r="A44" s="170"/>
      <c r="C44" s="170"/>
      <c r="D44" s="152" t="s">
        <v>220</v>
      </c>
      <c r="E44" s="195">
        <f>SUM(E42:E43)</f>
        <v>0</v>
      </c>
      <c r="F44" s="66" t="s">
        <v>219</v>
      </c>
      <c r="G44" s="113"/>
      <c r="H44" s="170"/>
      <c r="I44" s="170"/>
      <c r="J44" s="170"/>
    </row>
    <row r="45" spans="1:10" ht="12" customHeight="1" x14ac:dyDescent="0.25">
      <c r="A45" s="170"/>
      <c r="B45" s="170"/>
      <c r="C45" s="170"/>
      <c r="D45" s="170"/>
      <c r="E45" s="170"/>
      <c r="F45" s="170"/>
      <c r="G45" s="170"/>
      <c r="H45" s="170"/>
      <c r="I45" s="170"/>
      <c r="J45" s="170"/>
    </row>
    <row r="46" spans="1:10" ht="12" customHeight="1" x14ac:dyDescent="0.25">
      <c r="A46" s="196" t="s">
        <v>212</v>
      </c>
      <c r="B46" s="196"/>
      <c r="C46" s="196"/>
      <c r="D46" s="196"/>
      <c r="E46" s="196"/>
      <c r="F46" s="196"/>
      <c r="G46" s="196"/>
      <c r="H46" s="196"/>
      <c r="I46" s="196"/>
      <c r="J46" s="170"/>
    </row>
    <row r="47" spans="1:10" ht="12" customHeight="1" x14ac:dyDescent="0.25">
      <c r="A47" s="170"/>
      <c r="B47" s="170"/>
      <c r="C47" s="170"/>
      <c r="D47" s="170"/>
      <c r="E47" s="170"/>
      <c r="F47" s="170"/>
      <c r="G47" s="170"/>
      <c r="H47" s="170"/>
      <c r="I47" s="170"/>
      <c r="J47" s="170"/>
    </row>
    <row r="48" spans="1:10" ht="12" customHeight="1" x14ac:dyDescent="0.25">
      <c r="A48" s="170" t="s">
        <v>213</v>
      </c>
      <c r="B48" s="170"/>
      <c r="C48" s="170"/>
      <c r="D48" s="170"/>
      <c r="E48" s="197"/>
      <c r="F48" s="170" t="s">
        <v>101</v>
      </c>
      <c r="G48" s="170"/>
      <c r="H48" s="170"/>
      <c r="I48" s="170"/>
      <c r="J48" s="170"/>
    </row>
    <row r="49" spans="1:10" ht="12" customHeight="1" x14ac:dyDescent="0.25">
      <c r="A49" s="170" t="s">
        <v>214</v>
      </c>
      <c r="B49" s="170"/>
      <c r="C49" s="170"/>
      <c r="D49" s="170"/>
      <c r="E49" s="197"/>
      <c r="F49" s="170" t="s">
        <v>101</v>
      </c>
      <c r="G49" s="170" t="s">
        <v>215</v>
      </c>
      <c r="H49" s="155" t="str">
        <f>IF(E48=0,"NA",E49/E48)</f>
        <v>NA</v>
      </c>
      <c r="I49" s="113" t="str">
        <f>IF(H49="NA"," ",IF(H49&gt;=3,"OK","!"))</f>
        <v xml:space="preserve"> </v>
      </c>
      <c r="J49" s="170"/>
    </row>
    <row r="50" spans="1:10" ht="12" customHeight="1" x14ac:dyDescent="0.25">
      <c r="A50" s="170"/>
      <c r="B50" s="170"/>
      <c r="C50" s="170"/>
      <c r="D50" s="170"/>
      <c r="E50" s="170"/>
      <c r="F50" s="170"/>
      <c r="G50" s="170"/>
      <c r="H50" s="170"/>
      <c r="I50" s="170"/>
      <c r="J50" s="170"/>
    </row>
    <row r="51" spans="1:10" ht="12" customHeight="1" x14ac:dyDescent="0.25">
      <c r="A51" s="170"/>
      <c r="B51" s="170"/>
      <c r="C51" s="170"/>
      <c r="D51" s="170"/>
      <c r="E51" s="2" t="s">
        <v>324</v>
      </c>
      <c r="F51" s="197"/>
      <c r="G51" s="1"/>
      <c r="H51" s="277">
        <f>IF(F51=0,0,IF(F51-F24-I24&gt;=1,"OK","!"))</f>
        <v>0</v>
      </c>
      <c r="I51" s="170"/>
      <c r="J51" s="170"/>
    </row>
    <row r="52" spans="1:10" ht="12" customHeight="1" x14ac:dyDescent="0.25">
      <c r="A52" s="170"/>
      <c r="B52" s="170"/>
      <c r="C52" s="170"/>
      <c r="D52" s="170"/>
      <c r="E52" s="2"/>
      <c r="F52" s="278">
        <f>IF(F51=0,0,IF(F51-F24-I24&lt;1,"DAM CREST &lt; 1' ABOVE 100-YR HIGH WATER ELEV",0))</f>
        <v>0</v>
      </c>
      <c r="G52" s="1"/>
      <c r="H52" s="277"/>
      <c r="I52" s="170"/>
      <c r="J52" s="170"/>
    </row>
    <row r="53" spans="1:10" ht="12" customHeight="1" x14ac:dyDescent="0.25">
      <c r="A53" s="170"/>
      <c r="B53" s="170"/>
      <c r="C53" s="170"/>
      <c r="D53" s="170"/>
      <c r="E53" s="2" t="s">
        <v>325</v>
      </c>
      <c r="F53" s="197"/>
      <c r="G53" s="1"/>
      <c r="H53" s="277">
        <f>IF(F53=0,0,IF(F51-F53&gt;=1.5,"OK","!"))</f>
        <v>0</v>
      </c>
      <c r="I53" s="170"/>
      <c r="J53" s="170"/>
    </row>
    <row r="54" spans="1:10" ht="12" customHeight="1" x14ac:dyDescent="0.25">
      <c r="A54" s="170"/>
      <c r="B54" s="170"/>
      <c r="C54" s="170"/>
      <c r="D54" s="170"/>
      <c r="E54" s="2"/>
      <c r="F54" s="278">
        <f>IF(F51=0,0,IF(F51-F53&lt;1.5,"AUX. SPILLWAY CREST &lt; 1.5' BELOW DAM CREST",0))</f>
        <v>0</v>
      </c>
      <c r="G54" s="1"/>
      <c r="H54" s="277"/>
      <c r="I54" s="170"/>
      <c r="J54" s="170"/>
    </row>
    <row r="55" spans="1:10" ht="12" customHeight="1" x14ac:dyDescent="0.25">
      <c r="A55" s="170"/>
      <c r="C55" s="170"/>
      <c r="D55" s="170"/>
      <c r="E55" s="152" t="s">
        <v>216</v>
      </c>
      <c r="F55" s="197"/>
      <c r="G55" s="170" t="s">
        <v>328</v>
      </c>
      <c r="H55" s="113" t="str">
        <f>IF(F55=0," ",IF(F55&gt;=4,"OK","!"))</f>
        <v xml:space="preserve"> </v>
      </c>
      <c r="I55" s="170"/>
      <c r="J55" s="170"/>
    </row>
    <row r="56" spans="1:10" ht="12" customHeight="1" x14ac:dyDescent="0.25">
      <c r="A56" s="170"/>
      <c r="C56" s="170"/>
      <c r="D56" s="170"/>
      <c r="E56" s="152" t="s">
        <v>217</v>
      </c>
      <c r="F56" s="197"/>
      <c r="G56" s="170" t="s">
        <v>328</v>
      </c>
      <c r="H56" s="113" t="str">
        <f>IF(F56=0," ",IF(F56&gt;=6,"OK","!"))</f>
        <v xml:space="preserve"> </v>
      </c>
      <c r="I56" s="170"/>
      <c r="J56" s="170"/>
    </row>
    <row r="57" spans="1:10" ht="12" customHeight="1" x14ac:dyDescent="0.25">
      <c r="A57" s="170"/>
      <c r="C57" s="170"/>
      <c r="D57" s="170"/>
      <c r="E57" s="152" t="s">
        <v>218</v>
      </c>
      <c r="F57" s="197"/>
      <c r="G57" s="170" t="s">
        <v>46</v>
      </c>
      <c r="H57" s="113">
        <f>IF(F57=0,0,IF(F57="Y","OK","!"))</f>
        <v>0</v>
      </c>
      <c r="I57" s="170"/>
      <c r="J57" s="170"/>
    </row>
    <row r="58" spans="1:10" ht="12" customHeight="1" x14ac:dyDescent="0.25">
      <c r="A58" s="170"/>
      <c r="B58" s="170"/>
      <c r="C58" s="170"/>
      <c r="D58" s="170"/>
      <c r="E58" s="170"/>
      <c r="F58" s="155"/>
      <c r="G58" s="170"/>
      <c r="H58" s="170"/>
      <c r="I58" s="170"/>
      <c r="J58" s="170"/>
    </row>
    <row r="59" spans="1:10" ht="12" customHeight="1" x14ac:dyDescent="0.25">
      <c r="A59" s="170"/>
      <c r="B59" s="170"/>
      <c r="C59" s="170"/>
      <c r="D59" s="170"/>
      <c r="E59" s="2" t="s">
        <v>326</v>
      </c>
      <c r="F59" s="197"/>
      <c r="G59" s="170" t="s">
        <v>101</v>
      </c>
      <c r="H59" s="170"/>
      <c r="I59" s="170"/>
      <c r="J59" s="170"/>
    </row>
    <row r="60" spans="1:10" ht="12" customHeight="1" x14ac:dyDescent="0.25">
      <c r="A60" s="170"/>
      <c r="B60" s="170"/>
      <c r="C60" s="170"/>
      <c r="D60" s="170"/>
      <c r="E60" s="170"/>
      <c r="F60" s="170"/>
      <c r="G60" s="170"/>
      <c r="H60" s="170"/>
      <c r="I60" s="170"/>
      <c r="J60" s="170"/>
    </row>
    <row r="61" spans="1:10" ht="12" customHeight="1" x14ac:dyDescent="0.25">
      <c r="A61" s="198" t="s">
        <v>226</v>
      </c>
      <c r="B61" s="198"/>
      <c r="C61" s="198"/>
      <c r="D61" s="198"/>
      <c r="E61" s="198"/>
      <c r="F61" s="198"/>
      <c r="G61" s="198"/>
      <c r="H61" s="198"/>
      <c r="I61" s="198"/>
      <c r="J61" s="170"/>
    </row>
    <row r="62" spans="1:10" ht="24" customHeight="1" x14ac:dyDescent="0.25">
      <c r="A62" s="170"/>
      <c r="B62" s="170"/>
      <c r="C62" s="170"/>
      <c r="D62" s="153" t="s">
        <v>230</v>
      </c>
      <c r="E62" s="199" t="s">
        <v>234</v>
      </c>
      <c r="G62" s="170"/>
      <c r="H62" s="170"/>
      <c r="I62" s="170"/>
      <c r="J62" s="170"/>
    </row>
    <row r="63" spans="1:10" ht="12" customHeight="1" x14ac:dyDescent="0.25">
      <c r="B63" s="170"/>
      <c r="C63" s="170"/>
      <c r="D63" s="152" t="s">
        <v>229</v>
      </c>
      <c r="E63" s="200"/>
      <c r="G63" s="152" t="s">
        <v>246</v>
      </c>
      <c r="H63" s="200"/>
      <c r="I63" s="154" t="s">
        <v>46</v>
      </c>
      <c r="J63" s="170"/>
    </row>
    <row r="64" spans="1:10" ht="12" customHeight="1" x14ac:dyDescent="0.25">
      <c r="B64" s="170"/>
      <c r="C64" s="170"/>
      <c r="D64" s="152" t="s">
        <v>236</v>
      </c>
      <c r="E64" s="200"/>
      <c r="G64" s="170"/>
      <c r="H64" s="170"/>
      <c r="I64" s="170"/>
      <c r="J64" s="170"/>
    </row>
    <row r="65" spans="1:10" ht="12" customHeight="1" x14ac:dyDescent="0.25">
      <c r="B65" s="170"/>
      <c r="C65" s="170"/>
      <c r="D65" s="152" t="s">
        <v>237</v>
      </c>
      <c r="E65" s="200"/>
      <c r="G65" s="170"/>
      <c r="H65" s="170"/>
      <c r="I65" s="170"/>
      <c r="J65" s="170"/>
    </row>
    <row r="66" spans="1:10" x14ac:dyDescent="0.25">
      <c r="B66" s="156"/>
      <c r="C66" s="155"/>
      <c r="D66" s="152" t="s">
        <v>231</v>
      </c>
      <c r="E66" s="200"/>
      <c r="G66" s="156"/>
      <c r="H66" s="156"/>
      <c r="I66" s="156"/>
      <c r="J66" s="156"/>
    </row>
    <row r="67" spans="1:10" x14ac:dyDescent="0.25">
      <c r="B67" s="156"/>
      <c r="C67" s="155"/>
      <c r="D67" s="152" t="s">
        <v>232</v>
      </c>
      <c r="E67" s="200"/>
      <c r="G67" s="156"/>
      <c r="I67" s="156"/>
      <c r="J67" s="156"/>
    </row>
    <row r="68" spans="1:10" x14ac:dyDescent="0.25">
      <c r="B68" s="156"/>
      <c r="C68" s="155"/>
      <c r="D68" s="152" t="s">
        <v>227</v>
      </c>
      <c r="E68" s="200"/>
      <c r="F68" s="156"/>
      <c r="G68" s="152" t="s">
        <v>228</v>
      </c>
      <c r="H68" s="200"/>
      <c r="I68" s="154" t="s">
        <v>46</v>
      </c>
      <c r="J68" s="156"/>
    </row>
    <row r="69" spans="1:10" x14ac:dyDescent="0.25">
      <c r="B69" s="156"/>
      <c r="C69" s="155"/>
      <c r="D69" s="152" t="s">
        <v>233</v>
      </c>
      <c r="E69" s="200"/>
      <c r="G69" s="152" t="s">
        <v>235</v>
      </c>
      <c r="H69" s="200"/>
      <c r="I69" s="154" t="s">
        <v>46</v>
      </c>
      <c r="J69" s="156"/>
    </row>
    <row r="70" spans="1:10" ht="14.25" thickBot="1" x14ac:dyDescent="0.3">
      <c r="A70" s="156"/>
      <c r="B70" s="156"/>
      <c r="C70" s="155"/>
      <c r="D70" s="156"/>
      <c r="E70" s="156"/>
      <c r="F70" s="156"/>
      <c r="G70" s="156"/>
      <c r="H70" s="156"/>
      <c r="I70" s="156"/>
      <c r="J70" s="156"/>
    </row>
    <row r="71" spans="1:10" ht="16.5" x14ac:dyDescent="0.3">
      <c r="A71" s="275" t="s">
        <v>305</v>
      </c>
      <c r="B71" s="275"/>
      <c r="C71" s="275"/>
      <c r="D71" s="275"/>
      <c r="E71" s="275"/>
      <c r="F71" s="275"/>
      <c r="G71" s="275"/>
      <c r="H71" s="275"/>
      <c r="I71" s="275"/>
    </row>
    <row r="72" spans="1:10" ht="16.5" x14ac:dyDescent="0.3">
      <c r="A72" s="118" t="s">
        <v>306</v>
      </c>
      <c r="B72" s="118"/>
      <c r="C72" s="118"/>
      <c r="D72" s="118"/>
      <c r="E72" s="118"/>
      <c r="F72" s="118"/>
      <c r="G72" s="118"/>
      <c r="H72" s="118"/>
      <c r="I72" s="124" t="str">
        <f>'CL_1 - Site Screening'!J73</f>
        <v>IDALS: Issue Date: 03/08/2021</v>
      </c>
    </row>
    <row r="73" spans="1:10" x14ac:dyDescent="0.25">
      <c r="A73" s="156"/>
      <c r="B73" s="156"/>
      <c r="C73" s="156"/>
      <c r="D73" s="156"/>
      <c r="E73" s="155"/>
      <c r="F73" s="156"/>
      <c r="G73" s="156"/>
      <c r="H73" s="156"/>
      <c r="I73" s="156"/>
      <c r="J73" s="156"/>
    </row>
    <row r="74" spans="1:10" x14ac:dyDescent="0.25">
      <c r="A74" s="156"/>
      <c r="B74" s="156"/>
      <c r="C74" s="156"/>
      <c r="D74" s="156"/>
      <c r="E74" s="155"/>
      <c r="F74" s="156"/>
      <c r="G74" s="156"/>
      <c r="H74" s="156"/>
      <c r="I74" s="156"/>
      <c r="J74" s="156"/>
    </row>
    <row r="75" spans="1:10" x14ac:dyDescent="0.25">
      <c r="A75" s="156"/>
      <c r="B75" s="156"/>
      <c r="C75" s="156"/>
      <c r="D75" s="156"/>
      <c r="E75" s="155"/>
      <c r="F75" s="156"/>
      <c r="G75" s="156"/>
      <c r="H75" s="156"/>
      <c r="I75" s="156"/>
      <c r="J75" s="156"/>
    </row>
    <row r="76" spans="1:10" x14ac:dyDescent="0.25">
      <c r="A76" s="156"/>
      <c r="B76" s="156"/>
      <c r="C76" s="156"/>
      <c r="D76" s="156"/>
      <c r="E76" s="155"/>
      <c r="F76" s="156"/>
      <c r="G76" s="156"/>
      <c r="H76" s="156"/>
      <c r="I76" s="156"/>
      <c r="J76" s="156"/>
    </row>
    <row r="77" spans="1:10" x14ac:dyDescent="0.25">
      <c r="A77" s="156"/>
      <c r="B77" s="156"/>
      <c r="C77" s="156"/>
      <c r="D77" s="156"/>
      <c r="E77" s="155"/>
      <c r="F77" s="156"/>
      <c r="G77" s="156"/>
      <c r="H77" s="156"/>
      <c r="I77" s="156"/>
      <c r="J77" s="156"/>
    </row>
    <row r="78" spans="1:10" x14ac:dyDescent="0.25">
      <c r="A78" s="156"/>
      <c r="B78" s="156"/>
      <c r="C78" s="156"/>
      <c r="D78" s="156"/>
      <c r="E78" s="155"/>
      <c r="F78" s="156"/>
      <c r="G78" s="156"/>
      <c r="H78" s="156"/>
      <c r="I78" s="156"/>
      <c r="J78" s="156"/>
    </row>
  </sheetData>
  <sheetProtection algorithmName="SHA-512" hashValue="atCtq90H6rmmxp4vK/Cqc1CmDjAaG62m6TjAiF08UaHabhnruzHKPs4oMZMm+u40WRq421QAvUWxM7uHcCK0uw==" saltValue="fzQZVuW0dd1WxYUr+8z+8A==" spinCount="100000" sheet="1" objects="1" scenarios="1" selectLockedCells="1"/>
  <mergeCells count="7">
    <mergeCell ref="A2:I2"/>
    <mergeCell ref="A7:I7"/>
    <mergeCell ref="A1:I1"/>
    <mergeCell ref="C3:I3"/>
    <mergeCell ref="A5:B5"/>
    <mergeCell ref="C5:E5"/>
    <mergeCell ref="G5:I5"/>
  </mergeCells>
  <conditionalFormatting sqref="H11:H14">
    <cfRule type="cellIs" dxfId="33" priority="28" operator="equal">
      <formula>"!"</formula>
    </cfRule>
    <cfRule type="cellIs" dxfId="32" priority="29" operator="equal">
      <formula>"OK"</formula>
    </cfRule>
  </conditionalFormatting>
  <conditionalFormatting sqref="C21:I21">
    <cfRule type="cellIs" dxfId="31" priority="26" operator="equal">
      <formula>"!"</formula>
    </cfRule>
    <cfRule type="cellIs" dxfId="30" priority="27" operator="equal">
      <formula>"OK"</formula>
    </cfRule>
  </conditionalFormatting>
  <conditionalFormatting sqref="D25:F25">
    <cfRule type="cellIs" dxfId="29" priority="24" operator="equal">
      <formula>"!"</formula>
    </cfRule>
    <cfRule type="cellIs" dxfId="28" priority="25" operator="equal">
      <formula>"OK"</formula>
    </cfRule>
  </conditionalFormatting>
  <conditionalFormatting sqref="G35">
    <cfRule type="cellIs" dxfId="27" priority="22" operator="equal">
      <formula>"!"</formula>
    </cfRule>
    <cfRule type="cellIs" dxfId="26" priority="23" operator="equal">
      <formula>"OK"</formula>
    </cfRule>
  </conditionalFormatting>
  <conditionalFormatting sqref="G38:G44">
    <cfRule type="cellIs" dxfId="25" priority="20" operator="equal">
      <formula>"!"</formula>
    </cfRule>
    <cfRule type="cellIs" dxfId="24" priority="21" operator="equal">
      <formula>"OK"</formula>
    </cfRule>
  </conditionalFormatting>
  <conditionalFormatting sqref="I49">
    <cfRule type="cellIs" dxfId="23" priority="16" operator="equal">
      <formula>"!"</formula>
    </cfRule>
    <cfRule type="cellIs" dxfId="22" priority="17" operator="equal">
      <formula>"OK"</formula>
    </cfRule>
  </conditionalFormatting>
  <conditionalFormatting sqref="H55:H57">
    <cfRule type="cellIs" dxfId="21" priority="14" operator="equal">
      <formula>"!"</formula>
    </cfRule>
    <cfRule type="cellIs" dxfId="20" priority="15" operator="equal">
      <formula>"OK"</formula>
    </cfRule>
  </conditionalFormatting>
  <conditionalFormatting sqref="H68:I68">
    <cfRule type="duplicateValues" dxfId="19" priority="9"/>
  </conditionalFormatting>
  <conditionalFormatting sqref="H63:I63">
    <cfRule type="duplicateValues" dxfId="18" priority="8"/>
  </conditionalFormatting>
  <conditionalFormatting sqref="G32:G33">
    <cfRule type="cellIs" dxfId="17" priority="5" operator="equal">
      <formula>"ED"</formula>
    </cfRule>
    <cfRule type="cellIs" dxfId="16" priority="6" operator="equal">
      <formula>"!"</formula>
    </cfRule>
    <cfRule type="cellIs" dxfId="15" priority="7" operator="equal">
      <formula>"OK"</formula>
    </cfRule>
  </conditionalFormatting>
  <conditionalFormatting sqref="B21">
    <cfRule type="cellIs" dxfId="14" priority="3" operator="equal">
      <formula>"!"</formula>
    </cfRule>
    <cfRule type="cellIs" dxfId="13" priority="4" operator="equal">
      <formula>"OK"</formula>
    </cfRule>
  </conditionalFormatting>
  <conditionalFormatting sqref="H51:H54">
    <cfRule type="cellIs" dxfId="12" priority="1" operator="equal">
      <formula>"!"</formula>
    </cfRule>
    <cfRule type="cellIs" dxfId="11" priority="2" operator="equal">
      <formula>"OK"</formula>
    </cfRule>
  </conditionalFormatting>
  <printOptions horizontalCentered="1" verticalCentered="1"/>
  <pageMargins left="0.25" right="0.25" top="0.75" bottom="0.75" header="0.3" footer="0.3"/>
  <pageSetup scale="9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L52"/>
  <sheetViews>
    <sheetView view="pageBreakPreview" zoomScaleNormal="100" zoomScaleSheetLayoutView="100" workbookViewId="0">
      <selection activeCell="E38" sqref="E38"/>
    </sheetView>
  </sheetViews>
  <sheetFormatPr defaultColWidth="8.85546875" defaultRowHeight="13.5" x14ac:dyDescent="0.25"/>
  <cols>
    <col min="1" max="1" width="8.85546875" style="6"/>
    <col min="2" max="2" width="18.140625" style="6" customWidth="1"/>
    <col min="3" max="8" width="8.85546875" style="6"/>
    <col min="9" max="12" width="9.7109375" style="6" customWidth="1"/>
    <col min="13" max="16384" width="8.85546875" style="6"/>
  </cols>
  <sheetData>
    <row r="1" spans="1:12" x14ac:dyDescent="0.25">
      <c r="A1" s="297" t="s">
        <v>238</v>
      </c>
      <c r="B1" s="297"/>
      <c r="C1" s="297"/>
      <c r="D1" s="297"/>
      <c r="E1" s="297"/>
      <c r="F1" s="297"/>
      <c r="G1" s="297"/>
    </row>
    <row r="2" spans="1:12" x14ac:dyDescent="0.25">
      <c r="A2" s="6" t="s">
        <v>176</v>
      </c>
      <c r="B2" s="307" t="str">
        <f>'CL_1 - Site Screening'!C3</f>
        <v>Project Name</v>
      </c>
      <c r="C2" s="307"/>
      <c r="D2" s="307"/>
      <c r="E2" s="307"/>
      <c r="F2" s="6" t="s">
        <v>116</v>
      </c>
      <c r="G2" s="30">
        <f ca="1">'CL_1 - Site Screening'!G5</f>
        <v>44263</v>
      </c>
    </row>
    <row r="3" spans="1:12" x14ac:dyDescent="0.25">
      <c r="A3" s="201"/>
      <c r="B3" s="201"/>
      <c r="C3" s="201"/>
      <c r="D3" s="201"/>
      <c r="E3" s="201"/>
      <c r="F3" s="201"/>
    </row>
    <row r="4" spans="1:12" x14ac:dyDescent="0.25">
      <c r="A4" s="157" t="s">
        <v>74</v>
      </c>
      <c r="B4" s="157"/>
      <c r="C4" s="157"/>
      <c r="D4" s="157"/>
      <c r="E4" s="157"/>
      <c r="F4" s="157"/>
      <c r="G4" s="158"/>
    </row>
    <row r="5" spans="1:12" s="156" customFormat="1" ht="3.6" customHeight="1" x14ac:dyDescent="0.25">
      <c r="A5" s="43"/>
      <c r="B5" s="43"/>
      <c r="C5" s="43"/>
      <c r="D5" s="43"/>
      <c r="E5" s="43"/>
      <c r="F5" s="43"/>
    </row>
    <row r="6" spans="1:12" x14ac:dyDescent="0.25">
      <c r="A6" s="308" t="s">
        <v>111</v>
      </c>
      <c r="B6" s="308"/>
      <c r="C6" s="308"/>
      <c r="D6" s="308"/>
      <c r="E6" s="308"/>
      <c r="F6" s="308"/>
      <c r="G6" s="308"/>
    </row>
    <row r="7" spans="1:12" x14ac:dyDescent="0.25">
      <c r="A7" s="309" t="s">
        <v>293</v>
      </c>
      <c r="B7" s="309"/>
      <c r="C7" s="309"/>
      <c r="D7" s="309"/>
      <c r="E7" s="309"/>
      <c r="F7" s="309"/>
      <c r="G7" s="309"/>
    </row>
    <row r="9" spans="1:12" x14ac:dyDescent="0.25">
      <c r="A9" s="202" t="s">
        <v>287</v>
      </c>
      <c r="B9" s="202"/>
      <c r="C9" s="305" t="s">
        <v>27</v>
      </c>
      <c r="D9" s="305"/>
      <c r="E9" s="305"/>
      <c r="F9" s="305"/>
      <c r="G9" s="203"/>
    </row>
    <row r="10" spans="1:12" x14ac:dyDescent="0.25">
      <c r="A10" s="204" t="s">
        <v>76</v>
      </c>
      <c r="B10" s="204"/>
      <c r="C10" s="205" t="s">
        <v>29</v>
      </c>
      <c r="D10" s="205" t="s">
        <v>30</v>
      </c>
      <c r="E10" s="205" t="s">
        <v>31</v>
      </c>
      <c r="F10" s="205" t="s">
        <v>32</v>
      </c>
      <c r="I10" s="113" t="s">
        <v>29</v>
      </c>
      <c r="J10" s="113" t="s">
        <v>30</v>
      </c>
      <c r="K10" s="113" t="s">
        <v>31</v>
      </c>
      <c r="L10" s="113" t="s">
        <v>32</v>
      </c>
    </row>
    <row r="11" spans="1:12" x14ac:dyDescent="0.25">
      <c r="A11" s="6" t="s">
        <v>103</v>
      </c>
      <c r="C11" s="206">
        <v>0</v>
      </c>
      <c r="D11" s="206">
        <v>1</v>
      </c>
      <c r="E11" s="206">
        <v>0</v>
      </c>
      <c r="F11" s="206">
        <v>0</v>
      </c>
      <c r="I11" s="113">
        <v>30</v>
      </c>
      <c r="J11" s="113">
        <v>58</v>
      </c>
      <c r="K11" s="113">
        <v>71</v>
      </c>
      <c r="L11" s="113">
        <v>78</v>
      </c>
    </row>
    <row r="13" spans="1:12" x14ac:dyDescent="0.25">
      <c r="B13" s="64" t="s">
        <v>81</v>
      </c>
      <c r="C13" s="207">
        <f>SUM(C11:F11)</f>
        <v>1</v>
      </c>
      <c r="D13" s="6" t="s">
        <v>40</v>
      </c>
      <c r="F13" s="208"/>
      <c r="I13" s="6" t="s">
        <v>85</v>
      </c>
      <c r="J13" s="6">
        <v>1.25</v>
      </c>
      <c r="K13" s="6" t="s">
        <v>86</v>
      </c>
    </row>
    <row r="14" spans="1:12" x14ac:dyDescent="0.25">
      <c r="B14" s="64" t="s">
        <v>318</v>
      </c>
      <c r="C14" s="207">
        <f>IF(I16=0,ROUND(((C11*I11+D11*J11+E11*K11+F11*L11)/C13),0),I16)</f>
        <v>58</v>
      </c>
      <c r="F14" s="209"/>
    </row>
    <row r="15" spans="1:12" x14ac:dyDescent="0.25">
      <c r="D15" s="113"/>
      <c r="I15" s="213" t="s">
        <v>265</v>
      </c>
      <c r="J15" s="214"/>
      <c r="K15" s="214"/>
      <c r="L15" s="174"/>
    </row>
    <row r="16" spans="1:12" x14ac:dyDescent="0.25">
      <c r="I16" s="216">
        <v>0</v>
      </c>
      <c r="J16" s="214" t="s">
        <v>319</v>
      </c>
      <c r="K16" s="214"/>
      <c r="L16" s="174"/>
    </row>
    <row r="17" spans="1:12" x14ac:dyDescent="0.25">
      <c r="A17" s="210" t="s">
        <v>98</v>
      </c>
      <c r="B17" s="210"/>
      <c r="C17" s="306" t="s">
        <v>27</v>
      </c>
      <c r="D17" s="306"/>
      <c r="E17" s="306"/>
      <c r="F17" s="306"/>
      <c r="G17" s="211"/>
    </row>
    <row r="18" spans="1:12" x14ac:dyDescent="0.25">
      <c r="A18" s="204" t="s">
        <v>76</v>
      </c>
      <c r="B18" s="204"/>
      <c r="C18" s="205" t="s">
        <v>29</v>
      </c>
      <c r="D18" s="205" t="s">
        <v>30</v>
      </c>
      <c r="E18" s="205" t="s">
        <v>31</v>
      </c>
      <c r="F18" s="205" t="s">
        <v>32</v>
      </c>
      <c r="I18" s="304" t="s">
        <v>294</v>
      </c>
      <c r="J18" s="304"/>
      <c r="K18" s="304"/>
      <c r="L18" s="304"/>
    </row>
    <row r="19" spans="1:12" x14ac:dyDescent="0.25">
      <c r="A19" s="6" t="s">
        <v>75</v>
      </c>
      <c r="C19" s="206">
        <v>0</v>
      </c>
      <c r="D19" s="206">
        <v>0</v>
      </c>
      <c r="E19" s="206">
        <v>0</v>
      </c>
      <c r="F19" s="206">
        <v>0</v>
      </c>
      <c r="I19" s="113" t="s">
        <v>29</v>
      </c>
      <c r="J19" s="113" t="s">
        <v>30</v>
      </c>
      <c r="K19" s="113" t="s">
        <v>31</v>
      </c>
      <c r="L19" s="113" t="s">
        <v>32</v>
      </c>
    </row>
    <row r="20" spans="1:12" x14ac:dyDescent="0.25">
      <c r="A20" s="6" t="s">
        <v>77</v>
      </c>
      <c r="C20" s="206">
        <v>0</v>
      </c>
      <c r="D20" s="206">
        <v>0</v>
      </c>
      <c r="E20" s="206">
        <v>0</v>
      </c>
      <c r="F20" s="206">
        <v>0</v>
      </c>
      <c r="I20" s="113">
        <v>39</v>
      </c>
      <c r="J20" s="113">
        <v>61</v>
      </c>
      <c r="K20" s="113">
        <v>74</v>
      </c>
      <c r="L20" s="113">
        <v>80</v>
      </c>
    </row>
    <row r="21" spans="1:12" x14ac:dyDescent="0.25">
      <c r="A21" s="6" t="s">
        <v>78</v>
      </c>
      <c r="C21" s="206">
        <v>0</v>
      </c>
      <c r="D21" s="206">
        <v>0</v>
      </c>
      <c r="E21" s="206">
        <v>0</v>
      </c>
      <c r="F21" s="206">
        <v>0</v>
      </c>
      <c r="I21" s="113">
        <v>49</v>
      </c>
      <c r="J21" s="113">
        <v>69</v>
      </c>
      <c r="K21" s="113">
        <v>79</v>
      </c>
      <c r="L21" s="113">
        <v>84</v>
      </c>
    </row>
    <row r="22" spans="1:12" x14ac:dyDescent="0.25">
      <c r="A22" s="6" t="s">
        <v>79</v>
      </c>
      <c r="C22" s="206">
        <v>0</v>
      </c>
      <c r="D22" s="206">
        <v>0</v>
      </c>
      <c r="E22" s="206">
        <v>0</v>
      </c>
      <c r="F22" s="206">
        <v>0</v>
      </c>
      <c r="I22" s="113">
        <v>68</v>
      </c>
      <c r="J22" s="113">
        <v>79</v>
      </c>
      <c r="K22" s="113">
        <v>86</v>
      </c>
      <c r="L22" s="113">
        <v>89</v>
      </c>
    </row>
    <row r="23" spans="1:12" x14ac:dyDescent="0.25">
      <c r="A23" s="6" t="s">
        <v>105</v>
      </c>
      <c r="C23" s="206">
        <v>0</v>
      </c>
      <c r="D23" s="206">
        <v>1</v>
      </c>
      <c r="E23" s="206">
        <v>0</v>
      </c>
      <c r="F23" s="206">
        <v>0</v>
      </c>
      <c r="I23" s="113">
        <v>64</v>
      </c>
      <c r="J23" s="113">
        <v>74</v>
      </c>
      <c r="K23" s="113">
        <v>81</v>
      </c>
      <c r="L23" s="113">
        <v>85</v>
      </c>
    </row>
    <row r="24" spans="1:12" x14ac:dyDescent="0.25">
      <c r="A24" s="6" t="s">
        <v>80</v>
      </c>
      <c r="C24" s="206">
        <v>0</v>
      </c>
      <c r="D24" s="206">
        <v>0</v>
      </c>
      <c r="E24" s="206">
        <v>0</v>
      </c>
      <c r="F24" s="206">
        <v>0</v>
      </c>
    </row>
    <row r="25" spans="1:12" x14ac:dyDescent="0.25">
      <c r="A25" s="6" t="s">
        <v>104</v>
      </c>
      <c r="C25" s="212">
        <v>92</v>
      </c>
      <c r="D25" s="212">
        <v>92</v>
      </c>
      <c r="E25" s="212">
        <v>92</v>
      </c>
      <c r="F25" s="212">
        <v>92</v>
      </c>
      <c r="I25" s="213" t="s">
        <v>265</v>
      </c>
      <c r="J25" s="214"/>
      <c r="K25" s="214"/>
      <c r="L25" s="174"/>
    </row>
    <row r="26" spans="1:12" x14ac:dyDescent="0.25">
      <c r="C26" s="113"/>
      <c r="D26" s="64" t="s">
        <v>106</v>
      </c>
      <c r="E26" s="215" t="s">
        <v>108</v>
      </c>
      <c r="F26" s="113" t="s">
        <v>107</v>
      </c>
      <c r="I26" s="216">
        <v>0</v>
      </c>
      <c r="J26" s="214" t="s">
        <v>274</v>
      </c>
      <c r="K26" s="214"/>
      <c r="L26" s="174"/>
    </row>
    <row r="28" spans="1:12" x14ac:dyDescent="0.25">
      <c r="B28" s="64" t="s">
        <v>81</v>
      </c>
      <c r="C28" s="217">
        <f>SUM(C19:F23)+SUM(C24:F24)</f>
        <v>1</v>
      </c>
      <c r="D28" s="6" t="s">
        <v>40</v>
      </c>
      <c r="E28" s="64" t="s">
        <v>83</v>
      </c>
      <c r="F28" s="218">
        <f>0.05+0.009*C29*100</f>
        <v>0.05</v>
      </c>
      <c r="I28" s="6" t="s">
        <v>85</v>
      </c>
      <c r="J28" s="6">
        <v>1.25</v>
      </c>
      <c r="K28" s="6" t="s">
        <v>86</v>
      </c>
    </row>
    <row r="29" spans="1:12" x14ac:dyDescent="0.25">
      <c r="B29" s="64" t="s">
        <v>82</v>
      </c>
      <c r="C29" s="219">
        <f>(SUM(C19:F19)+SUM(C22:F22)/2+IF(E26="Y",SUM(C24:F24),0))/C28</f>
        <v>0</v>
      </c>
      <c r="E29" s="64" t="s">
        <v>84</v>
      </c>
      <c r="F29" s="220">
        <f>F28*J28*C28*43560/12+I26-IF(E26="N",0.05*J28*SUM(C24:F24)*43560/12,0)</f>
        <v>226.875</v>
      </c>
    </row>
    <row r="30" spans="1:12" x14ac:dyDescent="0.25">
      <c r="C30" s="64" t="s">
        <v>87</v>
      </c>
      <c r="D30" s="217">
        <f>ROUND(((SUM(C19:F19)*98+C20*I20+C21*I21+C22*I22+D20*J20+D21*J21+D22*J22+E20*K20+E21*K21+E22*K22+F20*L20+F21*L21+F22*L22+C24*C25+D24*D25+E24*E25+F24*F25+C23*I23+D23*J23+E23*K23+F23*L23)/C28),0)</f>
        <v>74</v>
      </c>
      <c r="F30" s="162" t="str">
        <f>IF(I26&gt;0,"MANUAL"," ")</f>
        <v xml:space="preserve"> </v>
      </c>
    </row>
    <row r="31" spans="1:12" x14ac:dyDescent="0.25">
      <c r="C31" s="64" t="s">
        <v>288</v>
      </c>
      <c r="D31" s="217">
        <f>ROUND(1000/((10+5*J28+10*1.25*F28)-(10*((1.25*F28)^2+1.25*1.25*F28*J28)^0.5)),0)</f>
        <v>73</v>
      </c>
      <c r="F31" s="64" t="s">
        <v>110</v>
      </c>
      <c r="G31" s="221">
        <f>1.25*F28</f>
        <v>6.25E-2</v>
      </c>
    </row>
    <row r="32" spans="1:12" x14ac:dyDescent="0.25">
      <c r="A32" s="113"/>
    </row>
    <row r="33" spans="1:12" x14ac:dyDescent="0.25">
      <c r="A33" s="222" t="s">
        <v>99</v>
      </c>
      <c r="B33" s="222"/>
      <c r="C33" s="303" t="s">
        <v>27</v>
      </c>
      <c r="D33" s="303"/>
      <c r="E33" s="303"/>
      <c r="F33" s="303"/>
      <c r="G33" s="223"/>
    </row>
    <row r="34" spans="1:12" x14ac:dyDescent="0.25">
      <c r="A34" s="204" t="s">
        <v>76</v>
      </c>
      <c r="B34" s="204"/>
      <c r="C34" s="205" t="s">
        <v>29</v>
      </c>
      <c r="D34" s="205" t="s">
        <v>30</v>
      </c>
      <c r="E34" s="205" t="s">
        <v>31</v>
      </c>
      <c r="F34" s="205" t="s">
        <v>32</v>
      </c>
      <c r="I34" s="304" t="s">
        <v>294</v>
      </c>
      <c r="J34" s="304"/>
      <c r="K34" s="304"/>
      <c r="L34" s="304"/>
    </row>
    <row r="35" spans="1:12" x14ac:dyDescent="0.25">
      <c r="A35" s="6" t="s">
        <v>75</v>
      </c>
      <c r="C35" s="206">
        <v>0</v>
      </c>
      <c r="D35" s="206">
        <v>0.5</v>
      </c>
      <c r="E35" s="206">
        <v>0</v>
      </c>
      <c r="F35" s="206">
        <v>0</v>
      </c>
      <c r="I35" s="113" t="s">
        <v>29</v>
      </c>
      <c r="J35" s="113" t="s">
        <v>30</v>
      </c>
      <c r="K35" s="113" t="s">
        <v>31</v>
      </c>
      <c r="L35" s="113" t="s">
        <v>32</v>
      </c>
    </row>
    <row r="36" spans="1:12" x14ac:dyDescent="0.25">
      <c r="A36" s="6" t="s">
        <v>281</v>
      </c>
      <c r="C36" s="206">
        <v>0</v>
      </c>
      <c r="D36" s="206">
        <v>0.5</v>
      </c>
      <c r="E36" s="206">
        <v>0</v>
      </c>
      <c r="F36" s="206">
        <v>0</v>
      </c>
      <c r="I36" s="113">
        <v>39</v>
      </c>
      <c r="J36" s="113">
        <v>61</v>
      </c>
      <c r="K36" s="113">
        <v>74</v>
      </c>
      <c r="L36" s="113">
        <v>80</v>
      </c>
    </row>
    <row r="37" spans="1:12" x14ac:dyDescent="0.25">
      <c r="A37" s="6" t="s">
        <v>280</v>
      </c>
      <c r="C37" s="206">
        <v>0</v>
      </c>
      <c r="D37" s="206">
        <v>0</v>
      </c>
      <c r="E37" s="206">
        <v>0</v>
      </c>
      <c r="F37" s="206">
        <v>0</v>
      </c>
      <c r="I37" s="113">
        <v>49</v>
      </c>
      <c r="J37" s="113">
        <v>69</v>
      </c>
      <c r="K37" s="113">
        <v>79</v>
      </c>
      <c r="L37" s="113">
        <v>84</v>
      </c>
    </row>
    <row r="38" spans="1:12" x14ac:dyDescent="0.25">
      <c r="A38" s="6" t="s">
        <v>79</v>
      </c>
      <c r="C38" s="206">
        <v>0</v>
      </c>
      <c r="D38" s="206">
        <v>0</v>
      </c>
      <c r="E38" s="206">
        <v>0</v>
      </c>
      <c r="F38" s="206">
        <v>0</v>
      </c>
      <c r="I38" s="113">
        <v>68</v>
      </c>
      <c r="J38" s="113">
        <v>79</v>
      </c>
      <c r="K38" s="113">
        <v>86</v>
      </c>
      <c r="L38" s="113">
        <v>89</v>
      </c>
    </row>
    <row r="39" spans="1:12" x14ac:dyDescent="0.25">
      <c r="A39" s="6" t="s">
        <v>105</v>
      </c>
      <c r="C39" s="206">
        <v>0</v>
      </c>
      <c r="D39" s="206">
        <v>0</v>
      </c>
      <c r="E39" s="206">
        <v>0</v>
      </c>
      <c r="F39" s="206">
        <v>0</v>
      </c>
      <c r="I39" s="113">
        <v>64</v>
      </c>
      <c r="J39" s="113">
        <v>74</v>
      </c>
      <c r="K39" s="113">
        <v>81</v>
      </c>
      <c r="L39" s="113">
        <v>85</v>
      </c>
    </row>
    <row r="40" spans="1:12" x14ac:dyDescent="0.25">
      <c r="A40" s="6" t="s">
        <v>80</v>
      </c>
      <c r="C40" s="206">
        <v>0</v>
      </c>
      <c r="D40" s="206">
        <v>0</v>
      </c>
      <c r="E40" s="206">
        <v>0</v>
      </c>
      <c r="F40" s="206">
        <v>0</v>
      </c>
    </row>
    <row r="41" spans="1:12" x14ac:dyDescent="0.25">
      <c r="A41" s="6" t="s">
        <v>104</v>
      </c>
      <c r="C41" s="212">
        <v>92</v>
      </c>
      <c r="D41" s="212">
        <v>92</v>
      </c>
      <c r="E41" s="212">
        <v>92</v>
      </c>
      <c r="F41" s="212">
        <v>92</v>
      </c>
      <c r="I41" s="213" t="s">
        <v>265</v>
      </c>
      <c r="J41" s="214"/>
      <c r="K41" s="214"/>
      <c r="L41" s="174"/>
    </row>
    <row r="42" spans="1:12" x14ac:dyDescent="0.25">
      <c r="C42" s="113"/>
      <c r="D42" s="64" t="s">
        <v>106</v>
      </c>
      <c r="E42" s="215" t="s">
        <v>108</v>
      </c>
      <c r="F42" s="113" t="s">
        <v>107</v>
      </c>
      <c r="I42" s="216">
        <v>0</v>
      </c>
      <c r="J42" s="214" t="s">
        <v>274</v>
      </c>
      <c r="K42" s="214"/>
      <c r="L42" s="174"/>
    </row>
    <row r="44" spans="1:12" x14ac:dyDescent="0.25">
      <c r="B44" s="64" t="s">
        <v>81</v>
      </c>
      <c r="C44" s="224">
        <f>SUM(C35:F39)+SUM(C40:F40)</f>
        <v>1</v>
      </c>
      <c r="D44" s="6" t="s">
        <v>40</v>
      </c>
      <c r="E44" s="64" t="s">
        <v>83</v>
      </c>
      <c r="F44" s="225">
        <f>0.05+0.009*C45*100</f>
        <v>0.49999999999999994</v>
      </c>
      <c r="I44" s="6" t="s">
        <v>85</v>
      </c>
      <c r="J44" s="6">
        <v>1.25</v>
      </c>
      <c r="K44" s="6" t="s">
        <v>86</v>
      </c>
    </row>
    <row r="45" spans="1:12" x14ac:dyDescent="0.25">
      <c r="B45" s="64" t="s">
        <v>82</v>
      </c>
      <c r="C45" s="226">
        <f>(SUM(C35:F35)+SUM(C38:F38)/2+IF(E42="Y",SUM(C40:F40),0))/C44</f>
        <v>0.5</v>
      </c>
      <c r="E45" s="64" t="s">
        <v>84</v>
      </c>
      <c r="F45" s="227">
        <f>F44*J44*C44*43560/12+I42-IF(E42="N",0.05*J44*SUM(C40:F40)*43560/12,0)</f>
        <v>2268.7499999999995</v>
      </c>
    </row>
    <row r="46" spans="1:12" x14ac:dyDescent="0.25">
      <c r="C46" s="64" t="s">
        <v>87</v>
      </c>
      <c r="D46" s="224">
        <f>ROUND(((SUM(C35:F35)*98+C36*I36+C37*I37+C38*I38+D36*J36+D37*J37+D38*J38+E36*K36+E37*K37+E38*K38+F36*L36+F37*L37+F38*L38+C40*C41+D40*D41+E40*E41+F40*F41+C39*I39+D39*J39+E39*K39+F39*L39)/C44),0)</f>
        <v>80</v>
      </c>
      <c r="F46" s="162" t="str">
        <f>IF(I42&gt;0,"MANUAL"," ")</f>
        <v xml:space="preserve"> </v>
      </c>
    </row>
    <row r="47" spans="1:12" x14ac:dyDescent="0.25">
      <c r="C47" s="64" t="s">
        <v>288</v>
      </c>
      <c r="D47" s="224">
        <f>ROUND(1000/((10+5*J44+10*1.25*F44)-(10*((1.25*F44)^2+1.25*1.25*F44*J44)^0.5)),0)</f>
        <v>93</v>
      </c>
      <c r="F47" s="64" t="s">
        <v>110</v>
      </c>
      <c r="G47" s="228">
        <f>1.25*F44</f>
        <v>0.62499999999999989</v>
      </c>
    </row>
    <row r="48" spans="1:12" x14ac:dyDescent="0.25">
      <c r="A48" s="229" t="s">
        <v>289</v>
      </c>
    </row>
    <row r="49" spans="1:7" x14ac:dyDescent="0.25">
      <c r="A49" s="229" t="s">
        <v>109</v>
      </c>
    </row>
    <row r="50" spans="1:7" ht="14.25" thickBot="1" x14ac:dyDescent="0.3"/>
    <row r="51" spans="1:7" ht="16.5" x14ac:dyDescent="0.3">
      <c r="A51" s="275" t="s">
        <v>308</v>
      </c>
      <c r="B51" s="275"/>
      <c r="C51" s="275"/>
      <c r="D51" s="275"/>
      <c r="E51" s="275"/>
      <c r="F51" s="275"/>
      <c r="G51" s="275"/>
    </row>
    <row r="52" spans="1:7" ht="16.5" x14ac:dyDescent="0.3">
      <c r="A52" s="118" t="s">
        <v>309</v>
      </c>
      <c r="B52" s="118"/>
      <c r="C52" s="118"/>
      <c r="D52" s="118"/>
      <c r="E52" s="118"/>
      <c r="F52" s="118"/>
      <c r="G52" s="124" t="str">
        <f>'CL_1 - Site Screening'!J73</f>
        <v>IDALS: Issue Date: 03/08/2021</v>
      </c>
    </row>
  </sheetData>
  <sheetProtection algorithmName="SHA-512" hashValue="kFkiNNvBhHu5tF7dlg/Rv6XBHvqDp/q19lBeHtAz8MbHwvdLSUPa3Uv1Gtu+jQ0IoxJJ1pi5k5UWZ0/Ywvhagg==" saltValue="Dt75R1O0H0a6vBGfHPPwsg==" spinCount="100000" sheet="1" objects="1" scenarios="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S50"/>
  <sheetViews>
    <sheetView view="pageBreakPreview" zoomScaleNormal="100" zoomScaleSheetLayoutView="100" workbookViewId="0">
      <selection activeCell="D30" sqref="D30"/>
    </sheetView>
  </sheetViews>
  <sheetFormatPr defaultColWidth="8.85546875" defaultRowHeight="12.75" x14ac:dyDescent="0.2"/>
  <cols>
    <col min="1" max="1" width="10.85546875" style="80" customWidth="1"/>
    <col min="2" max="8" width="10.7109375" style="80" customWidth="1"/>
    <col min="9" max="9" width="8.85546875" style="80"/>
    <col min="10" max="10" width="15.42578125" style="80" customWidth="1"/>
    <col min="11" max="16384" width="8.85546875" style="80"/>
  </cols>
  <sheetData>
    <row r="1" spans="1:9" x14ac:dyDescent="0.2">
      <c r="A1" s="297" t="s">
        <v>241</v>
      </c>
      <c r="B1" s="297"/>
      <c r="C1" s="297"/>
      <c r="D1" s="297"/>
      <c r="E1" s="297"/>
      <c r="F1" s="297"/>
      <c r="G1" s="297"/>
      <c r="H1" s="297"/>
      <c r="I1" s="29"/>
    </row>
    <row r="2" spans="1:9" x14ac:dyDescent="0.2">
      <c r="A2" s="80" t="s">
        <v>176</v>
      </c>
      <c r="B2" s="313" t="str">
        <f>'CL_1 - Site Screening'!C3</f>
        <v>Project Name</v>
      </c>
      <c r="C2" s="313"/>
      <c r="D2" s="313"/>
      <c r="E2" s="313"/>
      <c r="F2" s="80" t="s">
        <v>116</v>
      </c>
      <c r="G2" s="312">
        <f ca="1">'CL_1 - Site Screening'!G5</f>
        <v>44263</v>
      </c>
      <c r="H2" s="312"/>
    </row>
    <row r="3" spans="1:9" s="117" customFormat="1" x14ac:dyDescent="0.2">
      <c r="A3" s="82" t="s">
        <v>178</v>
      </c>
      <c r="B3" s="82"/>
      <c r="C3" s="82"/>
      <c r="D3" s="82"/>
      <c r="E3" s="82"/>
      <c r="F3" s="82"/>
      <c r="G3" s="82"/>
      <c r="H3" s="82"/>
    </row>
    <row r="5" spans="1:9" x14ac:dyDescent="0.2">
      <c r="A5" s="230" t="s">
        <v>100</v>
      </c>
      <c r="B5" s="230"/>
      <c r="C5" s="230"/>
      <c r="D5" s="230"/>
      <c r="E5" s="230"/>
      <c r="F5" s="230"/>
      <c r="G5" s="230"/>
      <c r="H5" s="230"/>
    </row>
    <row r="7" spans="1:9" x14ac:dyDescent="0.2">
      <c r="B7" s="100" t="s">
        <v>81</v>
      </c>
      <c r="C7" s="84">
        <f>'DE_1 - Watershed Info'!C44</f>
        <v>1</v>
      </c>
      <c r="D7" s="80" t="s">
        <v>40</v>
      </c>
      <c r="E7" s="100" t="s">
        <v>83</v>
      </c>
      <c r="F7" s="231">
        <f>'DE_1 - Watershed Info'!F44</f>
        <v>0.49999999999999994</v>
      </c>
    </row>
    <row r="8" spans="1:9" x14ac:dyDescent="0.2">
      <c r="B8" s="100" t="s">
        <v>82</v>
      </c>
      <c r="C8" s="105">
        <f>'DE_1 - Watershed Info'!C45</f>
        <v>0.5</v>
      </c>
      <c r="E8" s="100" t="s">
        <v>84</v>
      </c>
      <c r="F8" s="232">
        <f>'DE_1 - Watershed Info'!F45</f>
        <v>2268.7499999999995</v>
      </c>
      <c r="G8" s="80" t="s">
        <v>97</v>
      </c>
    </row>
    <row r="9" spans="1:9" x14ac:dyDescent="0.2">
      <c r="C9" s="100" t="s">
        <v>87</v>
      </c>
      <c r="D9" s="84">
        <f>'DE_1 - Watershed Info'!D46</f>
        <v>80</v>
      </c>
      <c r="E9" s="100" t="s">
        <v>110</v>
      </c>
      <c r="F9" s="233">
        <f>'DE_1 - Watershed Info'!G47</f>
        <v>0.62499999999999989</v>
      </c>
      <c r="G9" s="80" t="s">
        <v>112</v>
      </c>
    </row>
    <row r="10" spans="1:9" x14ac:dyDescent="0.2">
      <c r="C10" s="100" t="s">
        <v>88</v>
      </c>
      <c r="D10" s="84">
        <f>'DE_1 - Watershed Info'!D47</f>
        <v>93</v>
      </c>
    </row>
    <row r="12" spans="1:9" x14ac:dyDescent="0.2">
      <c r="A12" s="230" t="s">
        <v>295</v>
      </c>
      <c r="B12" s="230"/>
      <c r="C12" s="230"/>
      <c r="D12" s="230"/>
      <c r="E12" s="230"/>
      <c r="F12" s="230"/>
      <c r="G12" s="230"/>
      <c r="H12" s="230"/>
    </row>
    <row r="13" spans="1:9" x14ac:dyDescent="0.2">
      <c r="A13" s="314" t="s">
        <v>296</v>
      </c>
      <c r="B13" s="314"/>
      <c r="C13" s="314"/>
      <c r="D13" s="314"/>
      <c r="E13" s="314"/>
      <c r="F13" s="314"/>
      <c r="G13" s="314"/>
      <c r="H13" s="314"/>
    </row>
    <row r="15" spans="1:9" x14ac:dyDescent="0.2">
      <c r="B15" s="234"/>
      <c r="C15" s="311" t="s">
        <v>297</v>
      </c>
      <c r="D15" s="311"/>
      <c r="E15" s="311" t="s">
        <v>92</v>
      </c>
      <c r="F15" s="311"/>
      <c r="G15" s="311" t="s">
        <v>93</v>
      </c>
      <c r="H15" s="311"/>
    </row>
    <row r="16" spans="1:9" x14ac:dyDescent="0.2">
      <c r="B16" s="235" t="s">
        <v>91</v>
      </c>
      <c r="C16" s="235" t="s">
        <v>94</v>
      </c>
      <c r="D16" s="235" t="s">
        <v>95</v>
      </c>
      <c r="E16" s="235" t="s">
        <v>94</v>
      </c>
      <c r="F16" s="235" t="s">
        <v>95</v>
      </c>
      <c r="G16" s="235" t="s">
        <v>94</v>
      </c>
      <c r="H16" s="235" t="s">
        <v>95</v>
      </c>
    </row>
    <row r="17" spans="1:8" x14ac:dyDescent="0.2">
      <c r="A17" s="236" t="s">
        <v>89</v>
      </c>
      <c r="B17" s="237" t="s">
        <v>86</v>
      </c>
      <c r="C17" s="237" t="s">
        <v>96</v>
      </c>
      <c r="D17" s="237" t="s">
        <v>97</v>
      </c>
      <c r="E17" s="237" t="s">
        <v>96</v>
      </c>
      <c r="F17" s="237" t="s">
        <v>97</v>
      </c>
      <c r="G17" s="237" t="s">
        <v>96</v>
      </c>
      <c r="H17" s="237" t="s">
        <v>97</v>
      </c>
    </row>
    <row r="18" spans="1:8" x14ac:dyDescent="0.2">
      <c r="A18" s="84" t="s">
        <v>90</v>
      </c>
      <c r="B18" s="238">
        <v>1.25</v>
      </c>
      <c r="C18" s="252"/>
      <c r="D18" s="239"/>
      <c r="E18" s="253"/>
      <c r="F18" s="240"/>
      <c r="G18" s="268"/>
      <c r="H18" s="241"/>
    </row>
    <row r="19" spans="1:8" x14ac:dyDescent="0.2">
      <c r="A19" s="84">
        <v>1</v>
      </c>
      <c r="B19" s="238"/>
      <c r="C19" s="266"/>
      <c r="D19" s="242"/>
      <c r="E19" s="267"/>
      <c r="F19" s="243"/>
      <c r="G19" s="268"/>
      <c r="H19" s="241"/>
    </row>
    <row r="20" spans="1:8" x14ac:dyDescent="0.2">
      <c r="A20" s="84">
        <v>2</v>
      </c>
      <c r="B20" s="238"/>
      <c r="C20" s="266"/>
      <c r="D20" s="242"/>
      <c r="E20" s="267"/>
      <c r="F20" s="243"/>
      <c r="G20" s="268"/>
      <c r="H20" s="241"/>
    </row>
    <row r="21" spans="1:8" x14ac:dyDescent="0.2">
      <c r="A21" s="84">
        <v>5</v>
      </c>
      <c r="B21" s="238"/>
      <c r="C21" s="266"/>
      <c r="D21" s="242"/>
      <c r="E21" s="267"/>
      <c r="F21" s="243"/>
      <c r="G21" s="268"/>
      <c r="H21" s="241"/>
    </row>
    <row r="22" spans="1:8" x14ac:dyDescent="0.2">
      <c r="A22" s="84">
        <v>10</v>
      </c>
      <c r="B22" s="238"/>
      <c r="C22" s="266"/>
      <c r="D22" s="242"/>
      <c r="E22" s="267"/>
      <c r="F22" s="243"/>
      <c r="G22" s="268"/>
      <c r="H22" s="241"/>
    </row>
    <row r="23" spans="1:8" x14ac:dyDescent="0.2">
      <c r="A23" s="84">
        <v>25</v>
      </c>
      <c r="B23" s="238"/>
      <c r="C23" s="266"/>
      <c r="D23" s="242"/>
      <c r="E23" s="267"/>
      <c r="F23" s="243"/>
      <c r="G23" s="268"/>
      <c r="H23" s="241"/>
    </row>
    <row r="24" spans="1:8" x14ac:dyDescent="0.2">
      <c r="A24" s="84">
        <v>50</v>
      </c>
      <c r="B24" s="238"/>
      <c r="C24" s="266"/>
      <c r="D24" s="242"/>
      <c r="E24" s="267"/>
      <c r="F24" s="243"/>
      <c r="G24" s="268"/>
      <c r="H24" s="241"/>
    </row>
    <row r="25" spans="1:8" x14ac:dyDescent="0.2">
      <c r="A25" s="84">
        <v>100</v>
      </c>
      <c r="B25" s="238"/>
      <c r="C25" s="266"/>
      <c r="D25" s="242"/>
      <c r="E25" s="267"/>
      <c r="F25" s="243"/>
      <c r="G25" s="268"/>
      <c r="H25" s="241"/>
    </row>
    <row r="26" spans="1:8" x14ac:dyDescent="0.2">
      <c r="A26" s="84"/>
      <c r="B26" s="87"/>
      <c r="C26" s="88"/>
      <c r="D26" s="89"/>
      <c r="E26" s="92"/>
      <c r="F26" s="89"/>
      <c r="G26" s="92"/>
      <c r="H26" s="93"/>
    </row>
    <row r="27" spans="1:8" x14ac:dyDescent="0.2">
      <c r="D27" s="149" t="s">
        <v>90</v>
      </c>
      <c r="E27" s="149" t="s">
        <v>292</v>
      </c>
    </row>
    <row r="28" spans="1:8" x14ac:dyDescent="0.2">
      <c r="A28" s="230" t="s">
        <v>290</v>
      </c>
      <c r="B28" s="230"/>
      <c r="C28" s="244" t="s">
        <v>110</v>
      </c>
      <c r="D28" s="107">
        <f>H18/43560/C7*12</f>
        <v>0</v>
      </c>
      <c r="E28" s="107">
        <f>H19/43560/C7*12</f>
        <v>0</v>
      </c>
      <c r="F28" s="80" t="s">
        <v>112</v>
      </c>
    </row>
    <row r="29" spans="1:8" x14ac:dyDescent="0.2">
      <c r="C29" s="100" t="s">
        <v>291</v>
      </c>
      <c r="D29" s="80" t="e">
        <f>G18*640/C7/D28</f>
        <v>#DIV/0!</v>
      </c>
      <c r="E29" s="101" t="e">
        <f>G19*640/C7/E28</f>
        <v>#DIV/0!</v>
      </c>
      <c r="F29" s="80" t="s">
        <v>118</v>
      </c>
    </row>
    <row r="30" spans="1:8" x14ac:dyDescent="0.2">
      <c r="C30" s="100" t="s">
        <v>119</v>
      </c>
      <c r="D30" s="281"/>
      <c r="E30" s="245"/>
      <c r="F30" s="80" t="s">
        <v>300</v>
      </c>
    </row>
    <row r="31" spans="1:8" x14ac:dyDescent="0.2">
      <c r="C31" s="100" t="s">
        <v>120</v>
      </c>
      <c r="D31" s="107">
        <f>D30*G18</f>
        <v>0</v>
      </c>
      <c r="E31" s="107">
        <f>E30*G19</f>
        <v>0</v>
      </c>
      <c r="F31" s="80" t="s">
        <v>96</v>
      </c>
    </row>
    <row r="33" spans="1:19" x14ac:dyDescent="0.2">
      <c r="A33" s="230" t="s">
        <v>175</v>
      </c>
      <c r="B33" s="230"/>
      <c r="C33" s="230"/>
      <c r="D33" s="230"/>
      <c r="E33" s="230"/>
      <c r="F33" s="230"/>
      <c r="G33" s="230"/>
      <c r="H33" s="230"/>
    </row>
    <row r="34" spans="1:19" ht="13.5" x14ac:dyDescent="0.25">
      <c r="A34" s="162" t="str">
        <f>IF(J37&gt;0,"MANUAL",IF(J38&gt;0,"MANUAL",IF(J39&gt;0,"MANUAL",IF(J40&gt;0,"MANUAL",IF(J41&gt;0,"MANUAL",IF(J42&gt;0,"MANUAL",IF(J43&gt;0,"MANUAL",IF(J44&gt;0,"MANUAL"," "))))))))</f>
        <v xml:space="preserve"> </v>
      </c>
      <c r="B34" s="162"/>
      <c r="C34" s="162"/>
      <c r="D34" s="162"/>
      <c r="E34" s="162"/>
      <c r="F34" s="162"/>
      <c r="G34" s="162"/>
      <c r="H34" s="162"/>
      <c r="J34" s="246" t="s">
        <v>265</v>
      </c>
    </row>
    <row r="35" spans="1:19" ht="13.5" x14ac:dyDescent="0.25">
      <c r="A35" s="247"/>
      <c r="B35" s="248" t="s">
        <v>121</v>
      </c>
      <c r="C35" s="248" t="s">
        <v>122</v>
      </c>
      <c r="D35" s="248" t="s">
        <v>123</v>
      </c>
      <c r="E35" s="248" t="s">
        <v>124</v>
      </c>
      <c r="F35" s="248" t="s">
        <v>125</v>
      </c>
      <c r="G35" s="248" t="s">
        <v>126</v>
      </c>
      <c r="H35" s="248" t="s">
        <v>127</v>
      </c>
      <c r="J35" s="249" t="s">
        <v>275</v>
      </c>
      <c r="S35" s="248" t="s">
        <v>121</v>
      </c>
    </row>
    <row r="36" spans="1:19" ht="13.5" x14ac:dyDescent="0.25">
      <c r="A36" s="94" t="s">
        <v>89</v>
      </c>
      <c r="B36" s="94" t="s">
        <v>96</v>
      </c>
      <c r="C36" s="94" t="s">
        <v>96</v>
      </c>
      <c r="D36" s="94"/>
      <c r="E36" s="94"/>
      <c r="F36" s="94" t="s">
        <v>97</v>
      </c>
      <c r="G36" s="94" t="s">
        <v>97</v>
      </c>
      <c r="H36" s="94" t="s">
        <v>97</v>
      </c>
      <c r="J36" s="250" t="s">
        <v>96</v>
      </c>
      <c r="S36" s="94" t="s">
        <v>96</v>
      </c>
    </row>
    <row r="37" spans="1:19" x14ac:dyDescent="0.2">
      <c r="A37" s="256" t="s">
        <v>90</v>
      </c>
      <c r="B37" s="257" t="str">
        <f>IF('CL_2 - Design Summary'!F14="Y",IF(S37&lt;1,ROUND(S37,2),IF(S37&lt;10,ROUND(S37,1),ROUND(S37,0))),"NA")</f>
        <v>NA</v>
      </c>
      <c r="C37" s="258">
        <f>IF(G18&lt;1,ROUND(G18,2),IF(G18&lt;10,ROUND(G18,1),ROUND(G18,0)))</f>
        <v>0</v>
      </c>
      <c r="D37" s="259" t="str">
        <f>IF(B37="NA","NA",S37/C37)</f>
        <v>NA</v>
      </c>
      <c r="E37" s="260" t="str">
        <f>IF(B37="NA","NA",0.683-1.43*D37+1.64*D37^2-0.804*D37^3)</f>
        <v>NA</v>
      </c>
      <c r="F37" s="261">
        <f t="shared" ref="F37:F44" si="0">H18</f>
        <v>0</v>
      </c>
      <c r="G37" s="262" t="str">
        <f>IF(B37="NA","NA",E37*F37)</f>
        <v>NA</v>
      </c>
      <c r="H37" s="262" t="str">
        <f>IF(B37="NA","NA",ROUND(G37*1.15,-2))</f>
        <v>NA</v>
      </c>
      <c r="J37" s="282">
        <v>0</v>
      </c>
      <c r="S37" s="254">
        <f>IF(J37=0,D31,J37)</f>
        <v>0</v>
      </c>
    </row>
    <row r="38" spans="1:19" x14ac:dyDescent="0.2">
      <c r="A38" s="84">
        <v>1</v>
      </c>
      <c r="B38" s="84">
        <f t="shared" ref="B38:B43" si="1">IF(S38&lt;1,ROUND(S38,2),IF(S38&lt;10,ROUND(S38,1),ROUND(S38,0)))</f>
        <v>0</v>
      </c>
      <c r="C38" s="255">
        <f>IF(G19&lt;1,ROUND(G19,2),IF(G19&lt;10,ROUND(G19,1),ROUND(G19,0)))</f>
        <v>0</v>
      </c>
      <c r="D38" s="107" t="e">
        <f t="shared" ref="D38:D44" si="2">S38/C38</f>
        <v>#DIV/0!</v>
      </c>
      <c r="E38" s="109" t="e">
        <f>0.683-1.43*D38+1.64*D38^2-0.804*D38^3</f>
        <v>#DIV/0!</v>
      </c>
      <c r="F38" s="110">
        <f t="shared" si="0"/>
        <v>0</v>
      </c>
      <c r="G38" s="106" t="e">
        <f>E38*F38</f>
        <v>#DIV/0!</v>
      </c>
      <c r="H38" s="106" t="e">
        <f>ROUND(G38*1.15,-2)</f>
        <v>#DIV/0!</v>
      </c>
      <c r="J38" s="282">
        <v>0</v>
      </c>
      <c r="S38" s="107">
        <f>IF(J38=0,E31,J38)</f>
        <v>0</v>
      </c>
    </row>
    <row r="39" spans="1:19" x14ac:dyDescent="0.2">
      <c r="A39" s="84">
        <v>2</v>
      </c>
      <c r="B39" s="84">
        <f t="shared" si="1"/>
        <v>0</v>
      </c>
      <c r="C39" s="255">
        <f t="shared" ref="C39:C43" si="3">IF(G20&lt;1,ROUND(G20,2),IF(G20&lt;10,ROUND(G20,1),ROUND(G20,0)))</f>
        <v>0</v>
      </c>
      <c r="D39" s="107" t="e">
        <f t="shared" si="2"/>
        <v>#DIV/0!</v>
      </c>
      <c r="E39" s="109" t="e">
        <f t="shared" ref="E39:E44" si="4">0.683-1.43*D39+1.64*D39^2-0.804*D39^3</f>
        <v>#DIV/0!</v>
      </c>
      <c r="F39" s="110">
        <f t="shared" si="0"/>
        <v>0</v>
      </c>
      <c r="G39" s="106" t="e">
        <f t="shared" ref="G39:G44" si="5">E39*F39</f>
        <v>#DIV/0!</v>
      </c>
      <c r="H39" s="106" t="e">
        <f t="shared" ref="H39:H44" si="6">ROUND(G39*1.15,-2)</f>
        <v>#DIV/0!</v>
      </c>
      <c r="J39" s="282">
        <v>0</v>
      </c>
      <c r="S39" s="107">
        <f>IF(J39=0,MIN(C20,E$21),J39)</f>
        <v>0</v>
      </c>
    </row>
    <row r="40" spans="1:19" x14ac:dyDescent="0.2">
      <c r="A40" s="84">
        <v>5</v>
      </c>
      <c r="B40" s="84">
        <f t="shared" si="1"/>
        <v>0</v>
      </c>
      <c r="C40" s="255">
        <f t="shared" si="3"/>
        <v>0</v>
      </c>
      <c r="D40" s="107" t="e">
        <f t="shared" si="2"/>
        <v>#DIV/0!</v>
      </c>
      <c r="E40" s="109" t="e">
        <f t="shared" si="4"/>
        <v>#DIV/0!</v>
      </c>
      <c r="F40" s="110">
        <f t="shared" si="0"/>
        <v>0</v>
      </c>
      <c r="G40" s="106" t="e">
        <f t="shared" si="5"/>
        <v>#DIV/0!</v>
      </c>
      <c r="H40" s="106" t="e">
        <f t="shared" si="6"/>
        <v>#DIV/0!</v>
      </c>
      <c r="J40" s="282">
        <v>0</v>
      </c>
      <c r="S40" s="107">
        <f t="shared" ref="S40:S44" si="7">IF(J40=0,MIN(C21,E$21),J40)</f>
        <v>0</v>
      </c>
    </row>
    <row r="41" spans="1:19" x14ac:dyDescent="0.2">
      <c r="A41" s="84">
        <v>10</v>
      </c>
      <c r="B41" s="84">
        <f t="shared" si="1"/>
        <v>0</v>
      </c>
      <c r="C41" s="255">
        <f t="shared" si="3"/>
        <v>0</v>
      </c>
      <c r="D41" s="107" t="e">
        <f t="shared" si="2"/>
        <v>#DIV/0!</v>
      </c>
      <c r="E41" s="109" t="e">
        <f t="shared" si="4"/>
        <v>#DIV/0!</v>
      </c>
      <c r="F41" s="110">
        <f t="shared" si="0"/>
        <v>0</v>
      </c>
      <c r="G41" s="106" t="e">
        <f t="shared" si="5"/>
        <v>#DIV/0!</v>
      </c>
      <c r="H41" s="106" t="e">
        <f t="shared" si="6"/>
        <v>#DIV/0!</v>
      </c>
      <c r="J41" s="282">
        <v>0</v>
      </c>
      <c r="S41" s="107">
        <f t="shared" si="7"/>
        <v>0</v>
      </c>
    </row>
    <row r="42" spans="1:19" x14ac:dyDescent="0.2">
      <c r="A42" s="84">
        <v>25</v>
      </c>
      <c r="B42" s="84">
        <f t="shared" si="1"/>
        <v>0</v>
      </c>
      <c r="C42" s="255">
        <f t="shared" si="3"/>
        <v>0</v>
      </c>
      <c r="D42" s="107" t="e">
        <f t="shared" si="2"/>
        <v>#DIV/0!</v>
      </c>
      <c r="E42" s="109" t="e">
        <f t="shared" si="4"/>
        <v>#DIV/0!</v>
      </c>
      <c r="F42" s="110">
        <f t="shared" si="0"/>
        <v>0</v>
      </c>
      <c r="G42" s="106" t="e">
        <f t="shared" si="5"/>
        <v>#DIV/0!</v>
      </c>
      <c r="H42" s="106" t="e">
        <f t="shared" si="6"/>
        <v>#DIV/0!</v>
      </c>
      <c r="J42" s="282">
        <v>0</v>
      </c>
      <c r="S42" s="107">
        <f t="shared" si="7"/>
        <v>0</v>
      </c>
    </row>
    <row r="43" spans="1:19" x14ac:dyDescent="0.2">
      <c r="A43" s="84">
        <v>50</v>
      </c>
      <c r="B43" s="84">
        <f t="shared" si="1"/>
        <v>0</v>
      </c>
      <c r="C43" s="255">
        <f t="shared" si="3"/>
        <v>0</v>
      </c>
      <c r="D43" s="107" t="e">
        <f t="shared" si="2"/>
        <v>#DIV/0!</v>
      </c>
      <c r="E43" s="109" t="e">
        <f t="shared" si="4"/>
        <v>#DIV/0!</v>
      </c>
      <c r="F43" s="110">
        <f t="shared" si="0"/>
        <v>0</v>
      </c>
      <c r="G43" s="106" t="e">
        <f t="shared" si="5"/>
        <v>#DIV/0!</v>
      </c>
      <c r="H43" s="106" t="e">
        <f t="shared" si="6"/>
        <v>#DIV/0!</v>
      </c>
      <c r="J43" s="282">
        <v>0</v>
      </c>
      <c r="S43" s="107">
        <f t="shared" si="7"/>
        <v>0</v>
      </c>
    </row>
    <row r="44" spans="1:19" x14ac:dyDescent="0.2">
      <c r="A44" s="84">
        <v>100</v>
      </c>
      <c r="B44" s="84">
        <f t="shared" ref="B44" si="8">IF(S44&lt;1,ROUND(S44,2),IF(S44&lt;10,ROUND(S44,1),ROUND(S44,0)))</f>
        <v>0</v>
      </c>
      <c r="C44" s="255">
        <f>IF(G25&lt;1,ROUND(G25,2),IF(G25&lt;10,ROUND(G25,1),ROUND(G25,0)))</f>
        <v>0</v>
      </c>
      <c r="D44" s="107" t="e">
        <f t="shared" si="2"/>
        <v>#DIV/0!</v>
      </c>
      <c r="E44" s="109" t="e">
        <f t="shared" si="4"/>
        <v>#DIV/0!</v>
      </c>
      <c r="F44" s="110">
        <f t="shared" si="0"/>
        <v>0</v>
      </c>
      <c r="G44" s="106" t="e">
        <f t="shared" si="5"/>
        <v>#DIV/0!</v>
      </c>
      <c r="H44" s="106" t="e">
        <f t="shared" si="6"/>
        <v>#DIV/0!</v>
      </c>
      <c r="J44" s="283">
        <v>0</v>
      </c>
      <c r="S44" s="107">
        <f t="shared" si="7"/>
        <v>0</v>
      </c>
    </row>
    <row r="45" spans="1:19" ht="13.5" thickBot="1" x14ac:dyDescent="0.25">
      <c r="A45" s="84"/>
      <c r="B45" s="84"/>
      <c r="C45" s="255"/>
      <c r="D45" s="107"/>
      <c r="E45" s="109"/>
      <c r="F45" s="110"/>
      <c r="G45" s="106"/>
      <c r="H45" s="106"/>
      <c r="J45" s="270"/>
      <c r="S45" s="107"/>
    </row>
    <row r="46" spans="1:19" ht="16.5" x14ac:dyDescent="0.3">
      <c r="A46" s="275" t="s">
        <v>310</v>
      </c>
      <c r="B46" s="275"/>
      <c r="C46" s="275"/>
      <c r="D46" s="275"/>
      <c r="E46" s="275"/>
      <c r="F46" s="275"/>
      <c r="G46" s="275"/>
      <c r="H46" s="276"/>
      <c r="J46" s="270"/>
      <c r="S46" s="107"/>
    </row>
    <row r="47" spans="1:19" ht="16.5" x14ac:dyDescent="0.3">
      <c r="A47" s="118" t="s">
        <v>311</v>
      </c>
      <c r="B47" s="118"/>
      <c r="C47" s="118"/>
      <c r="D47" s="118"/>
      <c r="E47" s="118"/>
      <c r="F47" s="118"/>
      <c r="G47" s="118"/>
      <c r="H47" s="124" t="str">
        <f>'CL_1 - Site Screening'!J73</f>
        <v>IDALS: Issue Date: 03/08/2021</v>
      </c>
      <c r="J47" s="270"/>
      <c r="S47" s="107"/>
    </row>
    <row r="48" spans="1:19" x14ac:dyDescent="0.2">
      <c r="B48" s="111"/>
    </row>
    <row r="50" spans="1:8" x14ac:dyDescent="0.2">
      <c r="A50" s="310" t="s">
        <v>299</v>
      </c>
      <c r="B50" s="310"/>
      <c r="C50" s="310"/>
      <c r="D50" s="310"/>
      <c r="E50" s="310"/>
      <c r="F50" s="310"/>
      <c r="G50" s="310"/>
      <c r="H50" s="310"/>
    </row>
  </sheetData>
  <sheetProtection algorithmName="SHA-512" hashValue="u3dbX6VTSeweSjQEX5hjhBB1fcxY5IeVALRpohniY3I79SaBJvKvmver5lepIrIQqIUloSLyrCC5UZ070PhtxA==" saltValue="QBDhGwBibtpYp4x17WdTsg==" spinCount="100000" sheet="1" objects="1" scenarios="1" selectLockedCells="1"/>
  <mergeCells count="8">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P79"/>
  <sheetViews>
    <sheetView view="pageBreakPreview" zoomScaleNormal="100" zoomScaleSheetLayoutView="100" workbookViewId="0">
      <selection activeCell="A44" sqref="A44"/>
    </sheetView>
  </sheetViews>
  <sheetFormatPr defaultColWidth="8.85546875" defaultRowHeight="16.5" x14ac:dyDescent="0.3"/>
  <cols>
    <col min="1" max="1" width="23.85546875" style="118" customWidth="1"/>
    <col min="2" max="3" width="13" style="118" customWidth="1"/>
    <col min="4" max="4" width="19.28515625" style="118" customWidth="1"/>
    <col min="5" max="5" width="17" style="118" customWidth="1"/>
    <col min="6" max="6" width="6" style="118" customWidth="1"/>
    <col min="7" max="7" width="8.85546875" style="118"/>
    <col min="8" max="8" width="17" style="123" customWidth="1"/>
    <col min="9" max="9" width="8.85546875" style="118"/>
    <col min="10" max="13" width="14" style="118" customWidth="1"/>
    <col min="14" max="16384" width="8.85546875" style="118"/>
  </cols>
  <sheetData>
    <row r="1" spans="1:10" x14ac:dyDescent="0.3">
      <c r="A1" s="297" t="s">
        <v>242</v>
      </c>
      <c r="B1" s="297"/>
      <c r="C1" s="297"/>
      <c r="D1" s="297"/>
      <c r="E1" s="297"/>
      <c r="F1" s="297"/>
      <c r="G1" s="29"/>
      <c r="H1" s="114"/>
      <c r="I1" s="29"/>
    </row>
    <row r="2" spans="1:10" s="80" customFormat="1" ht="12.75" x14ac:dyDescent="0.2">
      <c r="A2" s="80" t="s">
        <v>176</v>
      </c>
      <c r="B2" s="313" t="str">
        <f>'CL_1 - Site Screening'!C3</f>
        <v>Project Name</v>
      </c>
      <c r="C2" s="313"/>
      <c r="D2" s="313"/>
      <c r="E2" s="119">
        <f ca="1">'CL_1 - Site Screening'!G5</f>
        <v>44263</v>
      </c>
      <c r="F2" s="81" t="s">
        <v>182</v>
      </c>
      <c r="H2" s="84"/>
    </row>
    <row r="3" spans="1:10" s="117" customFormat="1" ht="12.75" x14ac:dyDescent="0.2">
      <c r="A3" s="82" t="s">
        <v>179</v>
      </c>
      <c r="B3" s="82"/>
      <c r="C3" s="82"/>
      <c r="D3" s="82"/>
      <c r="E3" s="82"/>
      <c r="F3" s="82"/>
      <c r="H3" s="120"/>
    </row>
    <row r="4" spans="1:10" s="117" customFormat="1" ht="12.75" x14ac:dyDescent="0.2">
      <c r="H4" s="120"/>
    </row>
    <row r="5" spans="1:10" x14ac:dyDescent="0.3">
      <c r="A5" s="121" t="s">
        <v>133</v>
      </c>
      <c r="B5" s="122"/>
      <c r="C5" s="122"/>
      <c r="D5" s="122"/>
      <c r="E5" s="122"/>
      <c r="F5" s="122"/>
    </row>
    <row r="6" spans="1:10" x14ac:dyDescent="0.3">
      <c r="D6" s="319" t="s">
        <v>239</v>
      </c>
      <c r="E6" s="319"/>
      <c r="F6" s="319"/>
      <c r="H6" s="315" t="s">
        <v>265</v>
      </c>
      <c r="I6" s="316"/>
      <c r="J6" s="317"/>
    </row>
    <row r="7" spans="1:10" x14ac:dyDescent="0.3">
      <c r="A7" s="124" t="s">
        <v>7</v>
      </c>
      <c r="B7" s="125">
        <f>IF(H7=0,'DE_1 - Watershed Info'!F45-'CL_2 - Design Summary'!F15,H7)</f>
        <v>2268.7499999999995</v>
      </c>
      <c r="C7" s="118" t="s">
        <v>97</v>
      </c>
      <c r="D7" s="148" t="str">
        <f>IF(H7+H8=0," ","MANUAL")</f>
        <v xml:space="preserve"> </v>
      </c>
      <c r="H7" s="112"/>
      <c r="I7" s="126" t="s">
        <v>276</v>
      </c>
      <c r="J7" s="127"/>
    </row>
    <row r="8" spans="1:10" x14ac:dyDescent="0.3">
      <c r="A8" s="124" t="s">
        <v>17</v>
      </c>
      <c r="B8" s="125">
        <f>IF(H8=0,B7*0.1,H8)</f>
        <v>226.87499999999997</v>
      </c>
      <c r="C8" s="118" t="s">
        <v>97</v>
      </c>
      <c r="D8" s="118" t="s">
        <v>183</v>
      </c>
      <c r="H8" s="112"/>
      <c r="I8" s="126" t="s">
        <v>277</v>
      </c>
      <c r="J8" s="127"/>
    </row>
    <row r="9" spans="1:10" x14ac:dyDescent="0.3">
      <c r="A9" s="124" t="s">
        <v>18</v>
      </c>
      <c r="B9" s="14">
        <v>0</v>
      </c>
      <c r="C9" s="118" t="s">
        <v>97</v>
      </c>
      <c r="D9" s="318"/>
      <c r="E9" s="318"/>
      <c r="F9" s="318"/>
    </row>
    <row r="10" spans="1:10" s="130" customFormat="1" ht="3.6" customHeight="1" x14ac:dyDescent="0.3">
      <c r="A10" s="128"/>
      <c r="B10" s="129"/>
      <c r="D10" s="131"/>
      <c r="E10" s="131"/>
      <c r="F10" s="131"/>
      <c r="H10" s="132"/>
    </row>
    <row r="11" spans="1:10" x14ac:dyDescent="0.3">
      <c r="A11" s="124" t="s">
        <v>19</v>
      </c>
      <c r="B11" s="125">
        <f>B8-B9</f>
        <v>226.87499999999997</v>
      </c>
      <c r="C11" s="118" t="s">
        <v>97</v>
      </c>
      <c r="D11" s="318" t="s">
        <v>71</v>
      </c>
      <c r="E11" s="318"/>
      <c r="F11" s="318"/>
    </row>
    <row r="13" spans="1:10" x14ac:dyDescent="0.3">
      <c r="A13" s="121" t="s">
        <v>0</v>
      </c>
      <c r="B13" s="122"/>
      <c r="C13" s="122"/>
      <c r="D13" s="122"/>
      <c r="E13" s="122"/>
      <c r="F13" s="122"/>
    </row>
    <row r="15" spans="1:10" x14ac:dyDescent="0.3">
      <c r="A15" s="121" t="s">
        <v>128</v>
      </c>
      <c r="B15" s="122"/>
      <c r="C15" s="122"/>
      <c r="D15" s="133" t="s">
        <v>282</v>
      </c>
      <c r="E15" s="145">
        <v>0</v>
      </c>
      <c r="F15" s="122"/>
    </row>
    <row r="16" spans="1:10" x14ac:dyDescent="0.3">
      <c r="A16" s="134" t="s">
        <v>283</v>
      </c>
      <c r="B16" s="134" t="s">
        <v>1</v>
      </c>
      <c r="C16" s="134" t="s">
        <v>2</v>
      </c>
      <c r="D16" s="134" t="s">
        <v>3</v>
      </c>
      <c r="E16" s="134" t="s">
        <v>4</v>
      </c>
    </row>
    <row r="17" spans="1:16" s="123" customFormat="1" x14ac:dyDescent="0.3">
      <c r="A17" s="123" t="s">
        <v>101</v>
      </c>
      <c r="B17" s="123" t="s">
        <v>101</v>
      </c>
      <c r="C17" s="123" t="s">
        <v>132</v>
      </c>
      <c r="D17" s="123" t="s">
        <v>97</v>
      </c>
      <c r="E17" s="123" t="s">
        <v>97</v>
      </c>
    </row>
    <row r="18" spans="1:16" x14ac:dyDescent="0.3">
      <c r="A18" s="144">
        <v>0</v>
      </c>
      <c r="B18" s="135">
        <f>E$15-A18</f>
        <v>0</v>
      </c>
      <c r="C18" s="15"/>
      <c r="D18" s="136"/>
      <c r="E18" s="136"/>
      <c r="J18" s="123"/>
      <c r="K18" s="123"/>
      <c r="L18" s="123"/>
      <c r="M18" s="123"/>
      <c r="N18" s="123"/>
      <c r="O18" s="123"/>
      <c r="P18" s="123"/>
    </row>
    <row r="19" spans="1:16" x14ac:dyDescent="0.3">
      <c r="A19" s="146">
        <v>1</v>
      </c>
      <c r="B19" s="135">
        <f t="shared" ref="B19:B23" si="0">E$15-A19</f>
        <v>-1</v>
      </c>
      <c r="C19" s="15"/>
      <c r="D19" s="136">
        <f>IF(A19&gt;0,(C18+C19)*(B18-B19)/2,0)</f>
        <v>0</v>
      </c>
      <c r="E19" s="136">
        <f>D19+E18</f>
        <v>0</v>
      </c>
      <c r="I19"/>
      <c r="J19" s="123"/>
      <c r="K19" s="123"/>
      <c r="L19" s="123"/>
      <c r="M19" s="123"/>
      <c r="N19" s="123"/>
      <c r="O19" s="123"/>
      <c r="P19" s="123"/>
    </row>
    <row r="20" spans="1:16" x14ac:dyDescent="0.3">
      <c r="A20" s="146"/>
      <c r="B20" s="135">
        <f t="shared" si="0"/>
        <v>0</v>
      </c>
      <c r="C20" s="15"/>
      <c r="D20" s="136">
        <f t="shared" ref="D20:D23" si="1">IF(A20&gt;0,(C19+C20)*(B19-B20)/2,0)</f>
        <v>0</v>
      </c>
      <c r="E20" s="136">
        <f t="shared" ref="E20" si="2">D20+E19</f>
        <v>0</v>
      </c>
      <c r="J20" s="123"/>
      <c r="K20" s="123"/>
      <c r="L20" s="123"/>
      <c r="M20" s="123"/>
      <c r="N20" s="123"/>
      <c r="O20" s="123"/>
      <c r="P20" s="123"/>
    </row>
    <row r="21" spans="1:16" x14ac:dyDescent="0.3">
      <c r="A21" s="146"/>
      <c r="B21" s="135">
        <f t="shared" si="0"/>
        <v>0</v>
      </c>
      <c r="C21" s="15"/>
      <c r="D21" s="136">
        <f t="shared" si="1"/>
        <v>0</v>
      </c>
      <c r="E21" s="136">
        <f t="shared" ref="E21:E23" si="3">D21+E20</f>
        <v>0</v>
      </c>
      <c r="J21" s="123"/>
      <c r="K21" s="123"/>
      <c r="L21" s="123"/>
      <c r="M21" s="123"/>
      <c r="N21" s="123"/>
      <c r="O21" s="123"/>
      <c r="P21" s="123"/>
    </row>
    <row r="22" spans="1:16" x14ac:dyDescent="0.3">
      <c r="A22" s="146"/>
      <c r="B22" s="135">
        <f t="shared" si="0"/>
        <v>0</v>
      </c>
      <c r="C22" s="15"/>
      <c r="D22" s="136">
        <f t="shared" si="1"/>
        <v>0</v>
      </c>
      <c r="E22" s="136">
        <f t="shared" si="3"/>
        <v>0</v>
      </c>
      <c r="J22" s="123"/>
      <c r="K22" s="123"/>
      <c r="L22" s="123"/>
      <c r="M22" s="123"/>
      <c r="N22" s="123"/>
      <c r="O22" s="123"/>
      <c r="P22" s="123"/>
    </row>
    <row r="23" spans="1:16" x14ac:dyDescent="0.3">
      <c r="A23" s="146"/>
      <c r="B23" s="135">
        <f t="shared" si="0"/>
        <v>0</v>
      </c>
      <c r="C23" s="15"/>
      <c r="D23" s="136">
        <f t="shared" si="1"/>
        <v>0</v>
      </c>
      <c r="E23" s="136">
        <f t="shared" si="3"/>
        <v>0</v>
      </c>
      <c r="J23" s="123"/>
      <c r="K23" s="123"/>
      <c r="L23" s="123"/>
      <c r="M23" s="123"/>
      <c r="N23" s="123"/>
      <c r="O23" s="123"/>
      <c r="P23" s="123"/>
    </row>
    <row r="24" spans="1:16" x14ac:dyDescent="0.3">
      <c r="A24" s="123"/>
    </row>
    <row r="25" spans="1:16" x14ac:dyDescent="0.3">
      <c r="A25" s="123"/>
      <c r="E25" s="124"/>
      <c r="F25" s="137"/>
    </row>
    <row r="26" spans="1:16" x14ac:dyDescent="0.3">
      <c r="A26" s="121" t="s">
        <v>129</v>
      </c>
      <c r="B26" s="122"/>
      <c r="C26" s="122"/>
      <c r="D26" s="133" t="s">
        <v>282</v>
      </c>
      <c r="E26" s="145">
        <v>0</v>
      </c>
      <c r="F26" s="138"/>
    </row>
    <row r="27" spans="1:16" x14ac:dyDescent="0.3">
      <c r="A27" s="134" t="s">
        <v>283</v>
      </c>
      <c r="B27" s="134" t="s">
        <v>1</v>
      </c>
      <c r="C27" s="134" t="s">
        <v>2</v>
      </c>
      <c r="D27" s="134" t="s">
        <v>3</v>
      </c>
      <c r="E27" s="134" t="s">
        <v>4</v>
      </c>
      <c r="F27" s="137"/>
      <c r="K27" s="139"/>
    </row>
    <row r="28" spans="1:16" x14ac:dyDescent="0.3">
      <c r="A28" s="123" t="s">
        <v>101</v>
      </c>
      <c r="B28" s="123" t="s">
        <v>101</v>
      </c>
      <c r="C28" s="123" t="s">
        <v>132</v>
      </c>
      <c r="D28" s="123" t="s">
        <v>97</v>
      </c>
      <c r="E28" s="123" t="s">
        <v>97</v>
      </c>
      <c r="F28" s="137"/>
      <c r="K28" s="139"/>
    </row>
    <row r="29" spans="1:16" x14ac:dyDescent="0.3">
      <c r="A29" s="144">
        <v>0</v>
      </c>
      <c r="B29" s="135">
        <f>E$26-A29</f>
        <v>0</v>
      </c>
      <c r="C29" s="15"/>
      <c r="D29" s="136"/>
      <c r="E29" s="136"/>
      <c r="F29" s="137"/>
      <c r="K29" s="139"/>
    </row>
    <row r="30" spans="1:16" x14ac:dyDescent="0.3">
      <c r="A30" s="146">
        <v>1</v>
      </c>
      <c r="B30" s="135">
        <f t="shared" ref="B30:B34" si="4">E$26-A30</f>
        <v>-1</v>
      </c>
      <c r="C30" s="15"/>
      <c r="D30" s="136">
        <f>IF(A30&gt;0,(C29+C30)*(B29-B30)/2,0)</f>
        <v>0</v>
      </c>
      <c r="E30" s="136">
        <f>D30+E29</f>
        <v>0</v>
      </c>
      <c r="F30" s="137"/>
    </row>
    <row r="31" spans="1:16" x14ac:dyDescent="0.3">
      <c r="A31" s="146"/>
      <c r="B31" s="135">
        <f t="shared" si="4"/>
        <v>0</v>
      </c>
      <c r="C31" s="15"/>
      <c r="D31" s="136">
        <f t="shared" ref="D31:D34" si="5">IF(A31&gt;0,(C30+C31)*(B30-B31)/2,0)</f>
        <v>0</v>
      </c>
      <c r="E31" s="136">
        <f t="shared" ref="E31:E34" si="6">D31+E30</f>
        <v>0</v>
      </c>
      <c r="F31" s="137"/>
    </row>
    <row r="32" spans="1:16" x14ac:dyDescent="0.3">
      <c r="A32" s="146"/>
      <c r="B32" s="135">
        <f t="shared" si="4"/>
        <v>0</v>
      </c>
      <c r="C32" s="15"/>
      <c r="D32" s="136">
        <f t="shared" si="5"/>
        <v>0</v>
      </c>
      <c r="E32" s="136">
        <f t="shared" si="6"/>
        <v>0</v>
      </c>
      <c r="F32" s="137"/>
    </row>
    <row r="33" spans="1:13" x14ac:dyDescent="0.3">
      <c r="A33" s="146"/>
      <c r="B33" s="135">
        <f t="shared" si="4"/>
        <v>0</v>
      </c>
      <c r="C33" s="15"/>
      <c r="D33" s="136">
        <f t="shared" si="5"/>
        <v>0</v>
      </c>
      <c r="E33" s="136">
        <f t="shared" si="6"/>
        <v>0</v>
      </c>
      <c r="F33" s="137"/>
    </row>
    <row r="34" spans="1:13" x14ac:dyDescent="0.3">
      <c r="A34" s="146"/>
      <c r="B34" s="135">
        <f t="shared" si="4"/>
        <v>0</v>
      </c>
      <c r="C34" s="15"/>
      <c r="D34" s="136">
        <f t="shared" si="5"/>
        <v>0</v>
      </c>
      <c r="E34" s="136">
        <f t="shared" si="6"/>
        <v>0</v>
      </c>
    </row>
    <row r="36" spans="1:13" x14ac:dyDescent="0.3">
      <c r="A36" s="123"/>
      <c r="B36" s="123"/>
      <c r="J36" s="123"/>
      <c r="K36" s="123"/>
    </row>
    <row r="37" spans="1:13" x14ac:dyDescent="0.3">
      <c r="A37" s="121" t="s">
        <v>130</v>
      </c>
      <c r="B37" s="121"/>
      <c r="C37" s="121"/>
      <c r="D37" s="133" t="s">
        <v>282</v>
      </c>
      <c r="E37" s="145">
        <v>0</v>
      </c>
      <c r="F37" s="140"/>
      <c r="J37" s="123"/>
      <c r="K37" s="123"/>
      <c r="L37" s="123"/>
      <c r="M37" s="123"/>
    </row>
    <row r="38" spans="1:13" x14ac:dyDescent="0.3">
      <c r="A38" s="134" t="s">
        <v>283</v>
      </c>
      <c r="B38" s="134" t="s">
        <v>1</v>
      </c>
      <c r="C38" s="134" t="s">
        <v>2</v>
      </c>
      <c r="D38" s="134" t="s">
        <v>3</v>
      </c>
      <c r="E38" s="134" t="s">
        <v>4</v>
      </c>
      <c r="F38" s="123"/>
      <c r="J38" s="123"/>
      <c r="K38" s="123"/>
      <c r="L38" s="123"/>
      <c r="M38" s="123"/>
    </row>
    <row r="39" spans="1:13" x14ac:dyDescent="0.3">
      <c r="A39" s="123" t="s">
        <v>101</v>
      </c>
      <c r="B39" s="123" t="s">
        <v>101</v>
      </c>
      <c r="C39" s="123" t="s">
        <v>132</v>
      </c>
      <c r="D39" s="123" t="s">
        <v>97</v>
      </c>
      <c r="E39" s="123" t="s">
        <v>97</v>
      </c>
      <c r="F39" s="123"/>
      <c r="J39" s="123"/>
      <c r="K39" s="123"/>
      <c r="L39" s="123"/>
      <c r="M39" s="123"/>
    </row>
    <row r="40" spans="1:13" x14ac:dyDescent="0.3">
      <c r="A40" s="144">
        <v>0</v>
      </c>
      <c r="B40" s="135">
        <f>E$37-A40</f>
        <v>0</v>
      </c>
      <c r="C40" s="15"/>
      <c r="D40" s="136"/>
      <c r="E40" s="136"/>
      <c r="F40" s="123"/>
      <c r="J40" s="123"/>
      <c r="K40" s="123"/>
      <c r="L40" s="123"/>
      <c r="M40" s="123"/>
    </row>
    <row r="41" spans="1:13" x14ac:dyDescent="0.3">
      <c r="A41" s="146">
        <v>1</v>
      </c>
      <c r="B41" s="135">
        <f t="shared" ref="B41:B45" si="7">E$37-A41</f>
        <v>-1</v>
      </c>
      <c r="C41" s="15"/>
      <c r="D41" s="136">
        <f>IF(A41&gt;0,(C40+C41)*(B40-B41)/2,0)</f>
        <v>0</v>
      </c>
      <c r="E41" s="136">
        <f>D41+E40</f>
        <v>0</v>
      </c>
      <c r="F41" s="123"/>
      <c r="J41" s="123"/>
      <c r="K41" s="123"/>
      <c r="L41" s="123"/>
      <c r="M41" s="123"/>
    </row>
    <row r="42" spans="1:13" x14ac:dyDescent="0.3">
      <c r="A42" s="146"/>
      <c r="B42" s="135">
        <f t="shared" si="7"/>
        <v>0</v>
      </c>
      <c r="C42" s="15"/>
      <c r="D42" s="136">
        <f t="shared" ref="D42:D45" si="8">IF(A42&gt;0,(C41+C42)*(B41-B42)/2,0)</f>
        <v>0</v>
      </c>
      <c r="E42" s="136">
        <f t="shared" ref="E42:E45" si="9">D42+E41</f>
        <v>0</v>
      </c>
      <c r="F42" s="123"/>
      <c r="J42" s="123"/>
      <c r="K42" s="123"/>
      <c r="L42" s="123"/>
      <c r="M42" s="123"/>
    </row>
    <row r="43" spans="1:13" x14ac:dyDescent="0.3">
      <c r="A43" s="146"/>
      <c r="B43" s="135">
        <f t="shared" si="7"/>
        <v>0</v>
      </c>
      <c r="C43" s="15"/>
      <c r="D43" s="136">
        <f t="shared" si="8"/>
        <v>0</v>
      </c>
      <c r="E43" s="136">
        <f t="shared" si="9"/>
        <v>0</v>
      </c>
      <c r="F43" s="123"/>
      <c r="J43" s="123"/>
      <c r="K43" s="123"/>
      <c r="L43" s="123"/>
      <c r="M43" s="123"/>
    </row>
    <row r="44" spans="1:13" x14ac:dyDescent="0.3">
      <c r="A44" s="146"/>
      <c r="B44" s="135">
        <f t="shared" si="7"/>
        <v>0</v>
      </c>
      <c r="C44" s="15"/>
      <c r="D44" s="136">
        <f t="shared" si="8"/>
        <v>0</v>
      </c>
      <c r="E44" s="136">
        <f t="shared" si="9"/>
        <v>0</v>
      </c>
      <c r="F44" s="123"/>
      <c r="J44" s="123"/>
      <c r="K44" s="123"/>
      <c r="L44" s="123"/>
      <c r="M44" s="123"/>
    </row>
    <row r="45" spans="1:13" x14ac:dyDescent="0.3">
      <c r="A45" s="146"/>
      <c r="B45" s="135">
        <f t="shared" si="7"/>
        <v>0</v>
      </c>
      <c r="C45" s="15"/>
      <c r="D45" s="136">
        <f t="shared" si="8"/>
        <v>0</v>
      </c>
      <c r="E45" s="136">
        <f t="shared" si="9"/>
        <v>0</v>
      </c>
      <c r="F45" s="123"/>
      <c r="J45" s="123"/>
      <c r="K45" s="123"/>
      <c r="L45" s="123"/>
      <c r="M45" s="123"/>
    </row>
    <row r="46" spans="1:13" x14ac:dyDescent="0.3">
      <c r="A46" s="123"/>
      <c r="B46" s="123"/>
      <c r="C46" s="123"/>
      <c r="D46" s="147" t="str">
        <f>IF(H47=0," ","MANUAL")</f>
        <v xml:space="preserve"> </v>
      </c>
      <c r="E46" s="123"/>
      <c r="F46" s="123"/>
      <c r="H46" s="315" t="s">
        <v>265</v>
      </c>
      <c r="I46" s="316"/>
      <c r="J46" s="317"/>
      <c r="K46" s="123"/>
      <c r="L46" s="123"/>
      <c r="M46" s="123"/>
    </row>
    <row r="47" spans="1:13" x14ac:dyDescent="0.3">
      <c r="A47" s="123"/>
      <c r="B47" s="123"/>
      <c r="C47" s="124" t="s">
        <v>131</v>
      </c>
      <c r="D47" s="136">
        <f>IF(H47=0,MAX(E19:E23)+MAX(E30:E34)+MAX(E41:E45),H47)</f>
        <v>0</v>
      </c>
      <c r="E47" s="142" t="s">
        <v>97</v>
      </c>
      <c r="F47" s="123"/>
      <c r="H47" s="112"/>
      <c r="I47" s="126" t="s">
        <v>285</v>
      </c>
      <c r="J47" s="127"/>
      <c r="K47" s="123"/>
      <c r="L47" s="123"/>
      <c r="M47" s="123"/>
    </row>
    <row r="48" spans="1:13" x14ac:dyDescent="0.3">
      <c r="C48" s="124" t="s">
        <v>20</v>
      </c>
      <c r="D48" s="143">
        <f>(D47)/B11</f>
        <v>0</v>
      </c>
      <c r="E48" s="142" t="s">
        <v>21</v>
      </c>
      <c r="F48" s="84" t="str">
        <f>IF(D48=0,"-",IF(D48&gt;=1,"OK","!"))</f>
        <v>-</v>
      </c>
      <c r="J48" s="123"/>
      <c r="K48" s="123"/>
      <c r="L48" s="123"/>
      <c r="M48" s="123"/>
    </row>
    <row r="49" spans="1:13" ht="17.25" thickBot="1" x14ac:dyDescent="0.35">
      <c r="E49" s="123"/>
      <c r="F49" s="123"/>
      <c r="J49" s="123"/>
      <c r="K49" s="123"/>
      <c r="L49" s="123"/>
      <c r="M49" s="123"/>
    </row>
    <row r="50" spans="1:13" x14ac:dyDescent="0.3">
      <c r="A50" s="275" t="s">
        <v>312</v>
      </c>
      <c r="B50" s="275"/>
      <c r="C50" s="275"/>
      <c r="D50" s="275"/>
      <c r="E50" s="275"/>
      <c r="F50" s="275"/>
      <c r="G50" s="6"/>
      <c r="H50" s="106"/>
      <c r="J50" s="123"/>
      <c r="K50" s="123"/>
      <c r="L50" s="123"/>
      <c r="M50" s="123"/>
    </row>
    <row r="51" spans="1:13" x14ac:dyDescent="0.3">
      <c r="A51" s="118" t="s">
        <v>313</v>
      </c>
      <c r="F51" s="124" t="str">
        <f>'CL_1 - Site Screening'!J73</f>
        <v>IDALS: Issue Date: 03/08/2021</v>
      </c>
      <c r="G51" s="80"/>
      <c r="J51" s="123"/>
      <c r="K51" s="123"/>
      <c r="L51" s="123"/>
      <c r="M51" s="123"/>
    </row>
    <row r="52" spans="1:13" x14ac:dyDescent="0.3">
      <c r="A52" s="123"/>
      <c r="B52" s="123"/>
      <c r="C52" s="123"/>
      <c r="D52" s="123"/>
      <c r="E52" s="123"/>
      <c r="F52" s="123"/>
      <c r="J52" s="123"/>
      <c r="K52" s="123"/>
      <c r="L52" s="123"/>
      <c r="M52" s="123"/>
    </row>
    <row r="53" spans="1:13" x14ac:dyDescent="0.3">
      <c r="A53" s="123"/>
      <c r="B53" s="123"/>
      <c r="C53" s="123"/>
      <c r="D53" s="123"/>
      <c r="E53" s="123"/>
      <c r="F53" s="123"/>
      <c r="J53" s="123"/>
      <c r="K53" s="123"/>
      <c r="L53" s="123"/>
      <c r="M53" s="123"/>
    </row>
    <row r="54" spans="1:13" x14ac:dyDescent="0.3">
      <c r="A54" s="123"/>
      <c r="B54" s="123"/>
      <c r="C54" s="123"/>
      <c r="D54" s="141"/>
      <c r="E54" s="123"/>
      <c r="F54" s="123"/>
      <c r="J54" s="123"/>
      <c r="K54" s="123"/>
      <c r="L54" s="123"/>
      <c r="M54" s="123"/>
    </row>
    <row r="55" spans="1:13" x14ac:dyDescent="0.3">
      <c r="A55" s="123"/>
      <c r="B55" s="123"/>
      <c r="C55" s="123"/>
      <c r="D55" s="141"/>
      <c r="E55" s="123"/>
      <c r="F55" s="123"/>
      <c r="J55" s="123"/>
      <c r="K55" s="123"/>
      <c r="L55" s="123"/>
      <c r="M55" s="123"/>
    </row>
    <row r="56" spans="1:13" x14ac:dyDescent="0.3">
      <c r="A56" s="123"/>
      <c r="B56" s="123"/>
      <c r="C56" s="123"/>
      <c r="D56" s="141"/>
      <c r="E56" s="123"/>
      <c r="F56" s="123"/>
      <c r="J56" s="123"/>
      <c r="K56" s="123"/>
      <c r="L56" s="123"/>
      <c r="M56" s="123"/>
    </row>
    <row r="59" spans="1:13" x14ac:dyDescent="0.3">
      <c r="F59" s="123"/>
    </row>
    <row r="65" spans="3:4" x14ac:dyDescent="0.3">
      <c r="C65" s="123"/>
      <c r="D65" s="123"/>
    </row>
    <row r="66" spans="3:4" x14ac:dyDescent="0.3">
      <c r="C66" s="123"/>
      <c r="D66" s="123"/>
    </row>
    <row r="67" spans="3:4" x14ac:dyDescent="0.3">
      <c r="C67" s="123"/>
      <c r="D67" s="123"/>
    </row>
    <row r="68" spans="3:4" x14ac:dyDescent="0.3">
      <c r="C68" s="123"/>
      <c r="D68" s="123"/>
    </row>
    <row r="69" spans="3:4" x14ac:dyDescent="0.3">
      <c r="C69" s="123"/>
      <c r="D69" s="123"/>
    </row>
    <row r="70" spans="3:4" x14ac:dyDescent="0.3">
      <c r="C70" s="123"/>
      <c r="D70" s="123"/>
    </row>
    <row r="71" spans="3:4" x14ac:dyDescent="0.3">
      <c r="C71" s="123"/>
      <c r="D71" s="123"/>
    </row>
    <row r="72" spans="3:4" x14ac:dyDescent="0.3">
      <c r="C72" s="123"/>
      <c r="D72" s="123"/>
    </row>
    <row r="73" spans="3:4" x14ac:dyDescent="0.3">
      <c r="C73" s="123"/>
      <c r="D73" s="123"/>
    </row>
    <row r="74" spans="3:4" x14ac:dyDescent="0.3">
      <c r="C74" s="123"/>
      <c r="D74" s="123"/>
    </row>
    <row r="75" spans="3:4" x14ac:dyDescent="0.3">
      <c r="C75" s="123"/>
      <c r="D75" s="123"/>
    </row>
    <row r="76" spans="3:4" x14ac:dyDescent="0.3">
      <c r="C76" s="123"/>
      <c r="D76" s="123"/>
    </row>
    <row r="77" spans="3:4" x14ac:dyDescent="0.3">
      <c r="C77" s="123"/>
      <c r="D77" s="123"/>
    </row>
    <row r="78" spans="3:4" x14ac:dyDescent="0.3">
      <c r="C78" s="123"/>
      <c r="D78" s="123"/>
    </row>
    <row r="79" spans="3:4" x14ac:dyDescent="0.3">
      <c r="C79" s="123"/>
      <c r="D79" s="123"/>
    </row>
  </sheetData>
  <sheetProtection algorithmName="SHA-512" hashValue="8cWDmdJWcDIA5p4HMpHUVaW9lGepmlkwHpkGDWINPjiGgOdvwBVY8DxxWIhajIMnwjvd+BSK8yN3t4rFYR+MCg==" saltValue="RWprmypPQWHK2ysMdooetg==" spinCount="100000" sheet="1" objects="1" scenarios="1" selectLockedCells="1"/>
  <mergeCells count="7">
    <mergeCell ref="H46:J46"/>
    <mergeCell ref="A1:F1"/>
    <mergeCell ref="H6:J6"/>
    <mergeCell ref="B2:D2"/>
    <mergeCell ref="D9:F9"/>
    <mergeCell ref="D11:F11"/>
    <mergeCell ref="D6:F6"/>
  </mergeCells>
  <conditionalFormatting sqref="F48">
    <cfRule type="cellIs" dxfId="10" priority="1" operator="equal">
      <formula>"!"</formula>
    </cfRule>
    <cfRule type="cellIs" dxfId="9" priority="2" operator="equal">
      <formula>"OK"</formula>
    </cfRule>
  </conditionalFormatting>
  <printOptions horizontalCentered="1" verticalCentered="1"/>
  <pageMargins left="0.25" right="0.25" top="0.75" bottom="0.75" header="0.3" footer="0.3"/>
  <pageSetup scale="99"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70"/>
  <sheetViews>
    <sheetView view="pageBreakPreview" zoomScaleNormal="100" zoomScaleSheetLayoutView="100" workbookViewId="0">
      <selection activeCell="G5" sqref="G5"/>
    </sheetView>
  </sheetViews>
  <sheetFormatPr defaultColWidth="8.85546875" defaultRowHeight="13.5" x14ac:dyDescent="0.25"/>
  <cols>
    <col min="1" max="1" width="9.7109375" style="6" customWidth="1"/>
    <col min="2" max="5" width="14.7109375" style="6" customWidth="1"/>
    <col min="6" max="6" width="18.85546875" style="6" customWidth="1"/>
    <col min="7" max="7" width="14.7109375" style="6" customWidth="1"/>
    <col min="8" max="9" width="3.7109375" style="6" customWidth="1"/>
    <col min="10" max="10" width="8.85546875" style="6"/>
    <col min="11" max="11" width="14" style="6" customWidth="1"/>
    <col min="12" max="12" width="15.7109375" style="113" customWidth="1"/>
    <col min="13" max="13" width="3.42578125" style="6" customWidth="1"/>
    <col min="14" max="14" width="14" style="6" customWidth="1"/>
    <col min="15" max="16384" width="8.85546875" style="6"/>
  </cols>
  <sheetData>
    <row r="1" spans="1:14" x14ac:dyDescent="0.25">
      <c r="B1" s="297" t="s">
        <v>243</v>
      </c>
      <c r="C1" s="297"/>
      <c r="D1" s="297"/>
      <c r="E1" s="297"/>
      <c r="F1" s="297"/>
      <c r="G1" s="297"/>
      <c r="H1" s="29"/>
      <c r="I1" s="29"/>
      <c r="J1" s="29"/>
    </row>
    <row r="2" spans="1:14" x14ac:dyDescent="0.25">
      <c r="A2" s="6" t="s">
        <v>176</v>
      </c>
      <c r="B2" s="307" t="str">
        <f>'CL_1 - Site Screening'!C3</f>
        <v>Project Name</v>
      </c>
      <c r="C2" s="307"/>
      <c r="D2" s="307"/>
      <c r="E2" s="307"/>
      <c r="F2" s="6" t="s">
        <v>116</v>
      </c>
      <c r="G2" s="30">
        <f ca="1">'CL_1 - Site Screening'!G5</f>
        <v>44263</v>
      </c>
      <c r="H2" s="30"/>
    </row>
    <row r="3" spans="1:14" s="32" customFormat="1" x14ac:dyDescent="0.25">
      <c r="A3" s="31" t="s">
        <v>180</v>
      </c>
      <c r="B3" s="31"/>
      <c r="C3" s="31"/>
      <c r="D3" s="31"/>
      <c r="E3" s="31"/>
      <c r="F3" s="31"/>
      <c r="G3" s="31"/>
      <c r="L3" s="33"/>
    </row>
    <row r="4" spans="1:14" ht="12" customHeight="1" x14ac:dyDescent="0.25">
      <c r="K4" s="320" t="s">
        <v>265</v>
      </c>
      <c r="L4" s="321"/>
      <c r="M4" s="322"/>
    </row>
    <row r="5" spans="1:14" x14ac:dyDescent="0.25">
      <c r="A5" s="34" t="str">
        <f>IF(L5&gt;0,"MANUAL"," ")</f>
        <v xml:space="preserve"> </v>
      </c>
      <c r="B5" s="6" t="s">
        <v>7</v>
      </c>
      <c r="C5" s="35">
        <f>IF(L5=0,'DE_1 - Watershed Info'!F45-'CL_2 - Design Summary'!F15,L5)</f>
        <v>2268.7499999999995</v>
      </c>
      <c r="D5" s="6" t="s">
        <v>97</v>
      </c>
      <c r="E5" s="330" t="s">
        <v>258</v>
      </c>
      <c r="F5" s="330"/>
      <c r="G5" s="116">
        <v>0</v>
      </c>
      <c r="H5" s="36" t="s">
        <v>101</v>
      </c>
      <c r="K5" s="37" t="s">
        <v>7</v>
      </c>
      <c r="L5" s="71">
        <v>0</v>
      </c>
      <c r="M5" s="38" t="s">
        <v>97</v>
      </c>
    </row>
    <row r="6" spans="1:14" x14ac:dyDescent="0.25">
      <c r="A6" s="34" t="str">
        <f t="shared" ref="A6:A7" si="0">IF(L6&gt;0,"MANUAL"," ")</f>
        <v xml:space="preserve"> </v>
      </c>
      <c r="B6" s="6" t="s">
        <v>49</v>
      </c>
      <c r="C6" s="35">
        <f>IF(L6=0,MIN('Step 4 - Pre-treat'!B9+'Step 4 - Pre-treat'!D47,'Step 4 - Pre-treat'!B8),L6)</f>
        <v>0</v>
      </c>
      <c r="D6" s="6" t="s">
        <v>97</v>
      </c>
      <c r="K6" s="37" t="s">
        <v>49</v>
      </c>
      <c r="L6" s="71">
        <v>0</v>
      </c>
      <c r="M6" s="38" t="s">
        <v>97</v>
      </c>
    </row>
    <row r="7" spans="1:14" x14ac:dyDescent="0.25">
      <c r="A7" s="34" t="str">
        <f t="shared" si="0"/>
        <v xml:space="preserve"> </v>
      </c>
      <c r="B7" s="6" t="s">
        <v>135</v>
      </c>
      <c r="C7" s="35">
        <f>IF(L7=0,C5-C6,L7)</f>
        <v>2268.7499999999995</v>
      </c>
      <c r="D7" s="6" t="s">
        <v>97</v>
      </c>
      <c r="K7" s="39" t="s">
        <v>135</v>
      </c>
      <c r="L7" s="72">
        <v>0</v>
      </c>
      <c r="M7" s="40" t="s">
        <v>97</v>
      </c>
    </row>
    <row r="9" spans="1:14" x14ac:dyDescent="0.25">
      <c r="A9" s="41" t="s">
        <v>0</v>
      </c>
      <c r="C9" s="325" t="s">
        <v>264</v>
      </c>
      <c r="D9" s="325"/>
      <c r="E9" s="325"/>
      <c r="F9" s="325"/>
      <c r="G9" s="325"/>
      <c r="H9" s="325"/>
      <c r="I9" s="325"/>
    </row>
    <row r="10" spans="1:14" x14ac:dyDescent="0.25">
      <c r="B10" s="42"/>
      <c r="C10" s="43"/>
      <c r="D10" s="41"/>
      <c r="E10" s="41"/>
      <c r="F10" s="41"/>
      <c r="G10" s="41"/>
    </row>
    <row r="11" spans="1:14" x14ac:dyDescent="0.25">
      <c r="A11" s="44" t="s">
        <v>134</v>
      </c>
      <c r="B11" s="45"/>
      <c r="C11" s="44"/>
      <c r="D11" s="44"/>
      <c r="E11" s="44"/>
      <c r="F11" s="44"/>
      <c r="G11" s="46"/>
      <c r="H11" s="45"/>
      <c r="I11" s="45"/>
    </row>
    <row r="12" spans="1:14" x14ac:dyDescent="0.25">
      <c r="A12" s="42" t="s">
        <v>253</v>
      </c>
      <c r="B12" s="42" t="s">
        <v>1</v>
      </c>
      <c r="C12" s="42" t="s">
        <v>140</v>
      </c>
      <c r="D12" s="42" t="s">
        <v>249</v>
      </c>
      <c r="E12" s="42" t="s">
        <v>5</v>
      </c>
      <c r="F12" s="42" t="s">
        <v>301</v>
      </c>
      <c r="G12" s="42" t="s">
        <v>4</v>
      </c>
    </row>
    <row r="13" spans="1:14" s="113" customFormat="1" x14ac:dyDescent="0.25">
      <c r="A13" s="47" t="s">
        <v>101</v>
      </c>
      <c r="B13" s="47" t="s">
        <v>101</v>
      </c>
      <c r="C13" s="47" t="s">
        <v>132</v>
      </c>
      <c r="D13" s="47" t="s">
        <v>132</v>
      </c>
      <c r="E13" s="47" t="s">
        <v>101</v>
      </c>
      <c r="F13" s="47" t="s">
        <v>97</v>
      </c>
      <c r="G13" s="47" t="s">
        <v>97</v>
      </c>
      <c r="H13" s="47"/>
      <c r="I13" s="47"/>
    </row>
    <row r="14" spans="1:14" x14ac:dyDescent="0.25">
      <c r="A14" s="48">
        <v>0</v>
      </c>
      <c r="B14" s="21">
        <f>G5</f>
        <v>0</v>
      </c>
      <c r="C14" s="24"/>
      <c r="D14" s="35"/>
      <c r="K14" s="113"/>
    </row>
    <row r="15" spans="1:14" x14ac:dyDescent="0.25">
      <c r="A15" s="49">
        <v>0.5</v>
      </c>
      <c r="B15" s="22">
        <f>B$14-A15</f>
        <v>-0.5</v>
      </c>
      <c r="C15" s="25"/>
      <c r="D15" s="50" t="str">
        <f t="shared" ref="D15:D22" si="1">IF(C14&gt;0,(C14-C15),"NA")</f>
        <v>NA</v>
      </c>
      <c r="E15" s="49" t="str">
        <f t="shared" ref="E15:E20" si="2">IF(C14&gt;0,(B$14-(B14+B15)/2),"NA")</f>
        <v>NA</v>
      </c>
      <c r="F15" s="50" t="str">
        <f t="shared" ref="F15:F20" si="3">IF(C14&gt;0,(ROUND(D15*E15,0)),"NA")</f>
        <v>NA</v>
      </c>
      <c r="G15" s="73" t="str">
        <f>IF(F15=$J$40,"NA",(F15+G14))</f>
        <v>NA</v>
      </c>
      <c r="H15" s="51" t="s">
        <v>254</v>
      </c>
      <c r="I15" s="326" t="s">
        <v>255</v>
      </c>
      <c r="K15" s="113"/>
      <c r="M15" s="113"/>
      <c r="N15" s="113"/>
    </row>
    <row r="16" spans="1:14" x14ac:dyDescent="0.25">
      <c r="A16" s="49">
        <v>1</v>
      </c>
      <c r="B16" s="22">
        <f t="shared" ref="B16:B32" si="4">B$14-A16</f>
        <v>-1</v>
      </c>
      <c r="C16" s="25"/>
      <c r="D16" s="50" t="str">
        <f t="shared" si="1"/>
        <v>NA</v>
      </c>
      <c r="E16" s="49" t="str">
        <f t="shared" si="2"/>
        <v>NA</v>
      </c>
      <c r="F16" s="50" t="str">
        <f t="shared" si="3"/>
        <v>NA</v>
      </c>
      <c r="G16" s="75" t="str">
        <f t="shared" ref="G16:G17" si="5">IF(F16=$J$40,"NA",(F16+G15))</f>
        <v>NA</v>
      </c>
      <c r="H16" s="328" t="s">
        <v>256</v>
      </c>
      <c r="I16" s="326"/>
      <c r="K16" s="113"/>
      <c r="M16" s="113"/>
      <c r="N16" s="113"/>
    </row>
    <row r="17" spans="1:14" x14ac:dyDescent="0.25">
      <c r="A17" s="52">
        <v>1.5</v>
      </c>
      <c r="B17" s="23">
        <f t="shared" si="4"/>
        <v>-1.5</v>
      </c>
      <c r="C17" s="26"/>
      <c r="D17" s="53" t="str">
        <f t="shared" si="1"/>
        <v>NA</v>
      </c>
      <c r="E17" s="52" t="str">
        <f t="shared" si="2"/>
        <v>NA</v>
      </c>
      <c r="F17" s="53" t="str">
        <f t="shared" si="3"/>
        <v>NA</v>
      </c>
      <c r="G17" s="76" t="str">
        <f t="shared" si="5"/>
        <v>NA</v>
      </c>
      <c r="H17" s="329"/>
      <c r="I17" s="327"/>
      <c r="K17" s="113"/>
      <c r="M17" s="113"/>
      <c r="N17" s="113"/>
    </row>
    <row r="18" spans="1:14" ht="12" customHeight="1" x14ac:dyDescent="0.25">
      <c r="A18" s="22">
        <f>2</f>
        <v>2</v>
      </c>
      <c r="B18" s="21">
        <f t="shared" si="4"/>
        <v>-2</v>
      </c>
      <c r="C18" s="24"/>
      <c r="D18" s="50" t="str">
        <f t="shared" si="1"/>
        <v>NA</v>
      </c>
      <c r="E18" s="49" t="str">
        <f t="shared" si="2"/>
        <v>NA</v>
      </c>
      <c r="F18" s="50" t="str">
        <f t="shared" si="3"/>
        <v>NA</v>
      </c>
      <c r="G18" s="74" t="str">
        <f>IF(F18=$J$40,"NA",(F18+G17))</f>
        <v>NA</v>
      </c>
      <c r="H18" s="323" t="s">
        <v>257</v>
      </c>
      <c r="I18" s="323"/>
      <c r="K18" s="113"/>
      <c r="M18" s="113"/>
      <c r="N18" s="113"/>
    </row>
    <row r="19" spans="1:14" x14ac:dyDescent="0.25">
      <c r="A19" s="22">
        <f>A18+1</f>
        <v>3</v>
      </c>
      <c r="B19" s="21">
        <f t="shared" si="4"/>
        <v>-3</v>
      </c>
      <c r="C19" s="24"/>
      <c r="D19" s="50" t="str">
        <f t="shared" si="1"/>
        <v>NA</v>
      </c>
      <c r="E19" s="49" t="str">
        <f t="shared" si="2"/>
        <v>NA</v>
      </c>
      <c r="F19" s="50" t="str">
        <f t="shared" si="3"/>
        <v>NA</v>
      </c>
      <c r="G19" s="74" t="str">
        <f>IF(F19=$J$40,"NA",(F19+G18))</f>
        <v>NA</v>
      </c>
      <c r="H19" s="324"/>
      <c r="I19" s="324"/>
      <c r="K19" s="113"/>
      <c r="M19" s="113"/>
      <c r="N19" s="113"/>
    </row>
    <row r="20" spans="1:14" x14ac:dyDescent="0.25">
      <c r="A20" s="27">
        <v>4</v>
      </c>
      <c r="B20" s="21">
        <f t="shared" si="4"/>
        <v>-4</v>
      </c>
      <c r="C20" s="25"/>
      <c r="D20" s="50" t="str">
        <f t="shared" si="1"/>
        <v>NA</v>
      </c>
      <c r="E20" s="49" t="str">
        <f t="shared" si="2"/>
        <v>NA</v>
      </c>
      <c r="F20" s="50" t="str">
        <f t="shared" si="3"/>
        <v>NA</v>
      </c>
      <c r="G20" s="74" t="str">
        <f>IF(F20=$J$40,"NA",(F20+G19))</f>
        <v>NA</v>
      </c>
      <c r="H20" s="324"/>
      <c r="I20" s="324"/>
      <c r="K20" s="113"/>
      <c r="M20" s="113"/>
      <c r="N20" s="113"/>
    </row>
    <row r="21" spans="1:14" x14ac:dyDescent="0.25">
      <c r="A21" s="27">
        <f t="shared" ref="A21:A32" si="6">A20+1</f>
        <v>5</v>
      </c>
      <c r="B21" s="21">
        <f t="shared" si="4"/>
        <v>-5</v>
      </c>
      <c r="C21" s="25"/>
      <c r="D21" s="50" t="str">
        <f t="shared" si="1"/>
        <v>NA</v>
      </c>
      <c r="E21" s="49" t="str">
        <f t="shared" ref="E21:E32" si="7">IF(C20&gt;0,(B$14-(B20+B21)/2),"NA")</f>
        <v>NA</v>
      </c>
      <c r="F21" s="50" t="str">
        <f t="shared" ref="F21:F32" si="8">IF(C20&gt;0,(ROUND(D21*E21,0)),"NA")</f>
        <v>NA</v>
      </c>
      <c r="G21" s="74" t="str">
        <f t="shared" ref="G21:G32" si="9">IF(F21=$J$40,"NA",(F21+G20))</f>
        <v>NA</v>
      </c>
      <c r="H21" s="324"/>
      <c r="I21" s="324"/>
      <c r="K21" s="113"/>
      <c r="M21" s="113"/>
      <c r="N21" s="113"/>
    </row>
    <row r="22" spans="1:14" x14ac:dyDescent="0.25">
      <c r="A22" s="27">
        <f t="shared" si="6"/>
        <v>6</v>
      </c>
      <c r="B22" s="21">
        <f t="shared" si="4"/>
        <v>-6</v>
      </c>
      <c r="C22" s="25"/>
      <c r="D22" s="50" t="str">
        <f t="shared" si="1"/>
        <v>NA</v>
      </c>
      <c r="E22" s="49" t="str">
        <f t="shared" si="7"/>
        <v>NA</v>
      </c>
      <c r="F22" s="50" t="str">
        <f t="shared" si="8"/>
        <v>NA</v>
      </c>
      <c r="G22" s="74" t="str">
        <f t="shared" si="9"/>
        <v>NA</v>
      </c>
      <c r="H22" s="324"/>
      <c r="I22" s="324"/>
      <c r="K22" s="113"/>
      <c r="M22" s="113"/>
      <c r="N22" s="113"/>
    </row>
    <row r="23" spans="1:14" x14ac:dyDescent="0.25">
      <c r="A23" s="27">
        <f t="shared" si="6"/>
        <v>7</v>
      </c>
      <c r="B23" s="21">
        <f t="shared" si="4"/>
        <v>-7</v>
      </c>
      <c r="C23" s="25"/>
      <c r="D23" s="50" t="str">
        <f t="shared" ref="D23:D32" si="10">IF(C22&gt;0,(C22-C23),"NA")</f>
        <v>NA</v>
      </c>
      <c r="E23" s="49" t="str">
        <f t="shared" si="7"/>
        <v>NA</v>
      </c>
      <c r="F23" s="50" t="str">
        <f t="shared" si="8"/>
        <v>NA</v>
      </c>
      <c r="G23" s="74" t="str">
        <f t="shared" si="9"/>
        <v>NA</v>
      </c>
      <c r="H23" s="324"/>
      <c r="I23" s="324"/>
      <c r="K23" s="113"/>
      <c r="M23" s="113"/>
      <c r="N23" s="113"/>
    </row>
    <row r="24" spans="1:14" x14ac:dyDescent="0.25">
      <c r="A24" s="27">
        <f t="shared" si="6"/>
        <v>8</v>
      </c>
      <c r="B24" s="21">
        <f t="shared" si="4"/>
        <v>-8</v>
      </c>
      <c r="C24" s="25"/>
      <c r="D24" s="50" t="str">
        <f t="shared" si="10"/>
        <v>NA</v>
      </c>
      <c r="E24" s="49" t="str">
        <f t="shared" si="7"/>
        <v>NA</v>
      </c>
      <c r="F24" s="50" t="str">
        <f t="shared" si="8"/>
        <v>NA</v>
      </c>
      <c r="G24" s="74" t="str">
        <f t="shared" si="9"/>
        <v>NA</v>
      </c>
      <c r="H24" s="324"/>
      <c r="I24" s="324"/>
      <c r="K24" s="113"/>
      <c r="M24" s="113"/>
      <c r="N24" s="113"/>
    </row>
    <row r="25" spans="1:14" x14ac:dyDescent="0.25">
      <c r="A25" s="27">
        <f t="shared" si="6"/>
        <v>9</v>
      </c>
      <c r="B25" s="21">
        <f t="shared" si="4"/>
        <v>-9</v>
      </c>
      <c r="C25" s="25"/>
      <c r="D25" s="50" t="str">
        <f t="shared" si="10"/>
        <v>NA</v>
      </c>
      <c r="E25" s="49" t="str">
        <f t="shared" si="7"/>
        <v>NA</v>
      </c>
      <c r="F25" s="50" t="str">
        <f t="shared" si="8"/>
        <v>NA</v>
      </c>
      <c r="G25" s="74" t="str">
        <f t="shared" si="9"/>
        <v>NA</v>
      </c>
      <c r="H25" s="324"/>
      <c r="I25" s="324"/>
      <c r="K25" s="113"/>
      <c r="M25" s="113"/>
      <c r="N25" s="113"/>
    </row>
    <row r="26" spans="1:14" x14ac:dyDescent="0.25">
      <c r="A26" s="27">
        <f t="shared" si="6"/>
        <v>10</v>
      </c>
      <c r="B26" s="21">
        <f t="shared" si="4"/>
        <v>-10</v>
      </c>
      <c r="C26" s="25"/>
      <c r="D26" s="50" t="str">
        <f t="shared" si="10"/>
        <v>NA</v>
      </c>
      <c r="E26" s="49" t="str">
        <f t="shared" si="7"/>
        <v>NA</v>
      </c>
      <c r="F26" s="50" t="str">
        <f t="shared" si="8"/>
        <v>NA</v>
      </c>
      <c r="G26" s="74" t="str">
        <f t="shared" si="9"/>
        <v>NA</v>
      </c>
      <c r="H26" s="324"/>
      <c r="I26" s="324"/>
      <c r="K26" s="113"/>
      <c r="M26" s="113"/>
      <c r="N26" s="113"/>
    </row>
    <row r="27" spans="1:14" x14ac:dyDescent="0.25">
      <c r="A27" s="27">
        <f t="shared" si="6"/>
        <v>11</v>
      </c>
      <c r="B27" s="21">
        <f t="shared" si="4"/>
        <v>-11</v>
      </c>
      <c r="C27" s="25"/>
      <c r="D27" s="50" t="str">
        <f t="shared" si="10"/>
        <v>NA</v>
      </c>
      <c r="E27" s="49" t="str">
        <f t="shared" si="7"/>
        <v>NA</v>
      </c>
      <c r="F27" s="50" t="str">
        <f t="shared" si="8"/>
        <v>NA</v>
      </c>
      <c r="G27" s="74" t="str">
        <f t="shared" si="9"/>
        <v>NA</v>
      </c>
      <c r="H27" s="324"/>
      <c r="I27" s="324"/>
      <c r="K27" s="113"/>
      <c r="M27" s="113"/>
      <c r="N27" s="113"/>
    </row>
    <row r="28" spans="1:14" x14ac:dyDescent="0.25">
      <c r="A28" s="27">
        <f t="shared" si="6"/>
        <v>12</v>
      </c>
      <c r="B28" s="21">
        <f t="shared" si="4"/>
        <v>-12</v>
      </c>
      <c r="C28" s="25"/>
      <c r="D28" s="50" t="str">
        <f t="shared" si="10"/>
        <v>NA</v>
      </c>
      <c r="E28" s="49" t="str">
        <f t="shared" si="7"/>
        <v>NA</v>
      </c>
      <c r="F28" s="50" t="str">
        <f t="shared" si="8"/>
        <v>NA</v>
      </c>
      <c r="G28" s="74" t="str">
        <f t="shared" si="9"/>
        <v>NA</v>
      </c>
      <c r="H28" s="324"/>
      <c r="I28" s="324"/>
      <c r="K28" s="113"/>
      <c r="M28" s="113"/>
      <c r="N28" s="113"/>
    </row>
    <row r="29" spans="1:14" x14ac:dyDescent="0.25">
      <c r="A29" s="27">
        <f t="shared" si="6"/>
        <v>13</v>
      </c>
      <c r="B29" s="21">
        <f t="shared" si="4"/>
        <v>-13</v>
      </c>
      <c r="C29" s="25"/>
      <c r="D29" s="50" t="str">
        <f t="shared" si="10"/>
        <v>NA</v>
      </c>
      <c r="E29" s="49" t="str">
        <f t="shared" si="7"/>
        <v>NA</v>
      </c>
      <c r="F29" s="50" t="str">
        <f t="shared" si="8"/>
        <v>NA</v>
      </c>
      <c r="G29" s="74" t="str">
        <f t="shared" si="9"/>
        <v>NA</v>
      </c>
      <c r="H29" s="324"/>
      <c r="I29" s="324"/>
      <c r="K29" s="113"/>
      <c r="M29" s="113"/>
      <c r="N29" s="113"/>
    </row>
    <row r="30" spans="1:14" x14ac:dyDescent="0.25">
      <c r="A30" s="27">
        <f t="shared" si="6"/>
        <v>14</v>
      </c>
      <c r="B30" s="21">
        <f t="shared" si="4"/>
        <v>-14</v>
      </c>
      <c r="C30" s="68"/>
      <c r="D30" s="50" t="str">
        <f t="shared" si="10"/>
        <v>NA</v>
      </c>
      <c r="E30" s="49" t="str">
        <f t="shared" si="7"/>
        <v>NA</v>
      </c>
      <c r="F30" s="50" t="str">
        <f t="shared" si="8"/>
        <v>NA</v>
      </c>
      <c r="G30" s="74" t="str">
        <f t="shared" si="9"/>
        <v>NA</v>
      </c>
      <c r="H30" s="324"/>
      <c r="I30" s="324"/>
      <c r="K30" s="113"/>
      <c r="M30" s="113"/>
      <c r="N30" s="113"/>
    </row>
    <row r="31" spans="1:14" x14ac:dyDescent="0.25">
      <c r="A31" s="28">
        <f t="shared" si="6"/>
        <v>15</v>
      </c>
      <c r="B31" s="21">
        <f t="shared" si="4"/>
        <v>-15</v>
      </c>
      <c r="C31" s="69"/>
      <c r="D31" s="50" t="str">
        <f t="shared" si="10"/>
        <v>NA</v>
      </c>
      <c r="E31" s="49" t="str">
        <f t="shared" si="7"/>
        <v>NA</v>
      </c>
      <c r="F31" s="50" t="str">
        <f t="shared" si="8"/>
        <v>NA</v>
      </c>
      <c r="G31" s="74" t="str">
        <f t="shared" si="9"/>
        <v>NA</v>
      </c>
      <c r="H31" s="324"/>
      <c r="I31" s="324"/>
      <c r="K31" s="113"/>
      <c r="M31" s="113"/>
      <c r="N31" s="113"/>
    </row>
    <row r="32" spans="1:14" x14ac:dyDescent="0.25">
      <c r="A32" s="28">
        <f t="shared" si="6"/>
        <v>16</v>
      </c>
      <c r="B32" s="21">
        <f t="shared" si="4"/>
        <v>-16</v>
      </c>
      <c r="C32" s="70"/>
      <c r="D32" s="50" t="str">
        <f t="shared" si="10"/>
        <v>NA</v>
      </c>
      <c r="E32" s="49" t="str">
        <f t="shared" si="7"/>
        <v>NA</v>
      </c>
      <c r="F32" s="50" t="str">
        <f t="shared" si="8"/>
        <v>NA</v>
      </c>
      <c r="G32" s="74" t="str">
        <f t="shared" si="9"/>
        <v>NA</v>
      </c>
      <c r="H32" s="324"/>
      <c r="I32" s="324"/>
    </row>
    <row r="33" spans="1:10" x14ac:dyDescent="0.25">
      <c r="A33" s="48"/>
      <c r="B33" s="54" t="s">
        <v>141</v>
      </c>
    </row>
    <row r="34" spans="1:10" x14ac:dyDescent="0.25">
      <c r="A34" s="48"/>
      <c r="B34" s="54" t="s">
        <v>250</v>
      </c>
    </row>
    <row r="35" spans="1:10" x14ac:dyDescent="0.25">
      <c r="A35" s="48"/>
    </row>
    <row r="36" spans="1:10" x14ac:dyDescent="0.25">
      <c r="A36" s="55" t="s">
        <v>136</v>
      </c>
      <c r="B36" s="55"/>
      <c r="C36" s="55"/>
      <c r="D36" s="55"/>
      <c r="E36" s="55"/>
      <c r="F36" s="55"/>
      <c r="G36" s="55"/>
      <c r="H36" s="56"/>
      <c r="I36" s="56"/>
    </row>
    <row r="37" spans="1:10" x14ac:dyDescent="0.25">
      <c r="A37" s="42" t="s">
        <v>259</v>
      </c>
      <c r="B37" s="42" t="s">
        <v>1</v>
      </c>
      <c r="C37" s="42" t="s">
        <v>2</v>
      </c>
      <c r="D37" s="42" t="s">
        <v>301</v>
      </c>
      <c r="E37" s="42" t="s">
        <v>4</v>
      </c>
      <c r="F37" s="42"/>
      <c r="G37" s="42"/>
    </row>
    <row r="38" spans="1:10" x14ac:dyDescent="0.25">
      <c r="A38" s="47" t="s">
        <v>101</v>
      </c>
      <c r="B38" s="47" t="s">
        <v>101</v>
      </c>
      <c r="C38" s="47" t="s">
        <v>132</v>
      </c>
      <c r="D38" s="47" t="s">
        <v>97</v>
      </c>
      <c r="E38" s="47" t="s">
        <v>97</v>
      </c>
    </row>
    <row r="39" spans="1:10" x14ac:dyDescent="0.25">
      <c r="A39" s="48">
        <v>0</v>
      </c>
      <c r="B39" s="21">
        <f>G5</f>
        <v>0</v>
      </c>
      <c r="C39" s="24"/>
      <c r="D39" s="57"/>
      <c r="E39" s="57"/>
    </row>
    <row r="40" spans="1:10" x14ac:dyDescent="0.25">
      <c r="A40" s="28">
        <v>1</v>
      </c>
      <c r="B40" s="21">
        <f>B$14+A40</f>
        <v>1</v>
      </c>
      <c r="C40" s="24"/>
      <c r="D40" s="57" t="str">
        <f>IF(C40&gt;0,((C39+C40)*(B40-B39)/2),"NA")</f>
        <v>NA</v>
      </c>
      <c r="E40" s="57" t="str">
        <f t="shared" ref="E40:E45" si="11">IF(D40=$J$40,"NA",(D40+E39))</f>
        <v>NA</v>
      </c>
      <c r="J40" s="284" t="s">
        <v>260</v>
      </c>
    </row>
    <row r="41" spans="1:10" x14ac:dyDescent="0.25">
      <c r="A41" s="28">
        <f>A40+1</f>
        <v>2</v>
      </c>
      <c r="B41" s="21">
        <f t="shared" ref="B41:B49" si="12">B$14+A41</f>
        <v>2</v>
      </c>
      <c r="C41" s="24"/>
      <c r="D41" s="57" t="str">
        <f t="shared" ref="D41:D45" si="13">IF(C41&gt;0,((C40+C41)*(B41-B40)/2),"NA")</f>
        <v>NA</v>
      </c>
      <c r="E41" s="57" t="str">
        <f t="shared" si="11"/>
        <v>NA</v>
      </c>
    </row>
    <row r="42" spans="1:10" x14ac:dyDescent="0.25">
      <c r="A42" s="28">
        <f t="shared" ref="A42:A50" si="14">A41+1</f>
        <v>3</v>
      </c>
      <c r="B42" s="21">
        <f t="shared" si="12"/>
        <v>3</v>
      </c>
      <c r="C42" s="24"/>
      <c r="D42" s="57" t="str">
        <f t="shared" si="13"/>
        <v>NA</v>
      </c>
      <c r="E42" s="57" t="str">
        <f t="shared" si="11"/>
        <v>NA</v>
      </c>
    </row>
    <row r="43" spans="1:10" x14ac:dyDescent="0.25">
      <c r="A43" s="28">
        <f t="shared" si="14"/>
        <v>4</v>
      </c>
      <c r="B43" s="21">
        <f t="shared" si="12"/>
        <v>4</v>
      </c>
      <c r="C43" s="24"/>
      <c r="D43" s="57" t="str">
        <f t="shared" si="13"/>
        <v>NA</v>
      </c>
      <c r="E43" s="57" t="str">
        <f t="shared" si="11"/>
        <v>NA</v>
      </c>
    </row>
    <row r="44" spans="1:10" x14ac:dyDescent="0.25">
      <c r="A44" s="28">
        <f t="shared" si="14"/>
        <v>5</v>
      </c>
      <c r="B44" s="21">
        <f t="shared" si="12"/>
        <v>5</v>
      </c>
      <c r="C44" s="24"/>
      <c r="D44" s="57" t="str">
        <f t="shared" si="13"/>
        <v>NA</v>
      </c>
      <c r="E44" s="57" t="str">
        <f t="shared" si="11"/>
        <v>NA</v>
      </c>
    </row>
    <row r="45" spans="1:10" x14ac:dyDescent="0.25">
      <c r="A45" s="28">
        <f t="shared" si="14"/>
        <v>6</v>
      </c>
      <c r="B45" s="21">
        <f t="shared" si="12"/>
        <v>6</v>
      </c>
      <c r="C45" s="24"/>
      <c r="D45" s="57" t="str">
        <f t="shared" si="13"/>
        <v>NA</v>
      </c>
      <c r="E45" s="57" t="str">
        <f t="shared" si="11"/>
        <v>NA</v>
      </c>
    </row>
    <row r="46" spans="1:10" x14ac:dyDescent="0.25">
      <c r="A46" s="28">
        <f t="shared" si="14"/>
        <v>7</v>
      </c>
      <c r="B46" s="21">
        <f t="shared" si="12"/>
        <v>7</v>
      </c>
      <c r="C46" s="24"/>
      <c r="D46" s="57" t="str">
        <f t="shared" ref="D46:D50" si="15">IF(C46&gt;0,((C45+C46)*(B46-B45)/2),"NA")</f>
        <v>NA</v>
      </c>
      <c r="E46" s="57" t="str">
        <f t="shared" ref="E46:E50" si="16">IF(D46=$J$40,"NA",(D46+E45))</f>
        <v>NA</v>
      </c>
    </row>
    <row r="47" spans="1:10" x14ac:dyDescent="0.25">
      <c r="A47" s="28">
        <f t="shared" si="14"/>
        <v>8</v>
      </c>
      <c r="B47" s="21">
        <f t="shared" si="12"/>
        <v>8</v>
      </c>
      <c r="C47" s="24"/>
      <c r="D47" s="57" t="str">
        <f t="shared" si="15"/>
        <v>NA</v>
      </c>
      <c r="E47" s="57" t="str">
        <f t="shared" si="16"/>
        <v>NA</v>
      </c>
    </row>
    <row r="48" spans="1:10" x14ac:dyDescent="0.25">
      <c r="A48" s="28">
        <f t="shared" si="14"/>
        <v>9</v>
      </c>
      <c r="B48" s="21">
        <f t="shared" si="12"/>
        <v>9</v>
      </c>
      <c r="C48" s="24"/>
      <c r="D48" s="57" t="str">
        <f t="shared" si="15"/>
        <v>NA</v>
      </c>
      <c r="E48" s="57" t="str">
        <f t="shared" si="16"/>
        <v>NA</v>
      </c>
    </row>
    <row r="49" spans="1:12" x14ac:dyDescent="0.25">
      <c r="A49" s="28">
        <f t="shared" si="14"/>
        <v>10</v>
      </c>
      <c r="B49" s="21">
        <f t="shared" si="12"/>
        <v>10</v>
      </c>
      <c r="C49" s="24"/>
      <c r="D49" s="57" t="str">
        <f t="shared" si="15"/>
        <v>NA</v>
      </c>
      <c r="E49" s="57" t="str">
        <f t="shared" si="16"/>
        <v>NA</v>
      </c>
    </row>
    <row r="50" spans="1:12" x14ac:dyDescent="0.25">
      <c r="A50" s="28">
        <f t="shared" si="14"/>
        <v>11</v>
      </c>
      <c r="B50" s="21">
        <f t="shared" ref="B50" si="17">B$14+A50</f>
        <v>11</v>
      </c>
      <c r="C50" s="24"/>
      <c r="D50" s="57" t="str">
        <f t="shared" si="15"/>
        <v>NA</v>
      </c>
      <c r="E50" s="57" t="str">
        <f t="shared" si="16"/>
        <v>NA</v>
      </c>
    </row>
    <row r="51" spans="1:12" x14ac:dyDescent="0.25">
      <c r="A51" s="48"/>
      <c r="D51" s="113"/>
      <c r="E51" s="113"/>
    </row>
    <row r="52" spans="1:12" x14ac:dyDescent="0.25">
      <c r="A52" s="48"/>
      <c r="C52" s="45"/>
      <c r="D52" s="58" t="s">
        <v>142</v>
      </c>
      <c r="E52" s="59">
        <f>G52/43560</f>
        <v>0</v>
      </c>
      <c r="F52" s="45" t="s">
        <v>261</v>
      </c>
      <c r="G52" s="60">
        <f>MAX(G15:G32)</f>
        <v>0</v>
      </c>
      <c r="H52" s="45" t="s">
        <v>97</v>
      </c>
    </row>
    <row r="53" spans="1:12" x14ac:dyDescent="0.25">
      <c r="A53" s="48"/>
      <c r="C53" s="56"/>
      <c r="D53" s="61" t="s">
        <v>143</v>
      </c>
      <c r="E53" s="62">
        <f>G53/43560</f>
        <v>0</v>
      </c>
      <c r="F53" s="56" t="s">
        <v>261</v>
      </c>
      <c r="G53" s="63">
        <f>MAX(E40:E50)</f>
        <v>0</v>
      </c>
      <c r="H53" s="56" t="s">
        <v>97</v>
      </c>
    </row>
    <row r="54" spans="1:12" x14ac:dyDescent="0.25">
      <c r="D54" s="64" t="s">
        <v>220</v>
      </c>
      <c r="E54" s="65">
        <f>SUM(E52:E53)</f>
        <v>0</v>
      </c>
      <c r="F54" s="6" t="s">
        <v>261</v>
      </c>
    </row>
    <row r="55" spans="1:12" ht="13.5" customHeight="1" x14ac:dyDescent="0.25">
      <c r="D55" s="113"/>
      <c r="E55" s="115" t="s">
        <v>286</v>
      </c>
    </row>
    <row r="56" spans="1:12" x14ac:dyDescent="0.25">
      <c r="D56" s="113"/>
      <c r="E56" s="113"/>
    </row>
    <row r="57" spans="1:12" x14ac:dyDescent="0.25">
      <c r="D57" s="64" t="s">
        <v>144</v>
      </c>
      <c r="E57" s="66">
        <f>G52/C7</f>
        <v>0</v>
      </c>
      <c r="F57" s="6" t="s">
        <v>145</v>
      </c>
      <c r="G57" s="113" t="str">
        <f>IF(E57=0," ",IF(E57&gt;=E58,"OK",IF(E57&gt;=0.5,"ED","!")))</f>
        <v xml:space="preserve"> </v>
      </c>
    </row>
    <row r="58" spans="1:12" x14ac:dyDescent="0.25">
      <c r="D58" s="2" t="s">
        <v>323</v>
      </c>
      <c r="E58" s="280" t="e">
        <f>IF(E65&gt;=0.85,2,IF(E65&gt;=0.35,2-(0.85-E65)*2,IF(E65&lt;0.35,1,NA)))</f>
        <v>#DIV/0!</v>
      </c>
      <c r="G58" s="269"/>
      <c r="L58" s="269"/>
    </row>
    <row r="59" spans="1:12" x14ac:dyDescent="0.25">
      <c r="D59" s="113"/>
      <c r="E59" s="113"/>
    </row>
    <row r="60" spans="1:12" x14ac:dyDescent="0.25">
      <c r="D60" s="64" t="s">
        <v>6</v>
      </c>
      <c r="E60" s="66" t="e">
        <f>G17/C7</f>
        <v>#VALUE!</v>
      </c>
      <c r="F60" s="6" t="s">
        <v>137</v>
      </c>
      <c r="G60" s="113" t="e">
        <f>IF(E60=0,0,IF(E60&gt;=0.25,"OK","!"))</f>
        <v>#VALUE!</v>
      </c>
    </row>
    <row r="61" spans="1:12" x14ac:dyDescent="0.25">
      <c r="D61" s="64" t="s">
        <v>13</v>
      </c>
      <c r="E61" s="66" t="e">
        <f>(D16+D17)/C14</f>
        <v>#VALUE!</v>
      </c>
    </row>
    <row r="62" spans="1:12" x14ac:dyDescent="0.25">
      <c r="D62" s="64" t="s">
        <v>14</v>
      </c>
      <c r="E62" s="66" t="e">
        <f>D15/C14</f>
        <v>#VALUE!</v>
      </c>
    </row>
    <row r="63" spans="1:12" x14ac:dyDescent="0.25">
      <c r="D63" s="64" t="s">
        <v>15</v>
      </c>
      <c r="E63" s="66" t="e">
        <f>E61-E62</f>
        <v>#VALUE!</v>
      </c>
      <c r="F63" s="6" t="s">
        <v>138</v>
      </c>
      <c r="G63" s="113" t="e">
        <f>IF(E63=0,0,IF(E63&lt;=0.2,"OK","!"))</f>
        <v>#VALUE!</v>
      </c>
    </row>
    <row r="64" spans="1:12" x14ac:dyDescent="0.25">
      <c r="D64" s="64" t="s">
        <v>9</v>
      </c>
      <c r="E64" s="66" t="e">
        <f>C19/C14</f>
        <v>#DIV/0!</v>
      </c>
      <c r="F64" s="6" t="s">
        <v>139</v>
      </c>
      <c r="G64" s="113" t="e">
        <f>IF(E64=0,0,IF(E64&lt;=0.25,"OK","!"))</f>
        <v>#DIV/0!</v>
      </c>
    </row>
    <row r="65" spans="1:12" x14ac:dyDescent="0.25">
      <c r="D65" s="64" t="s">
        <v>10</v>
      </c>
      <c r="E65" s="66" t="e">
        <f>C17/C14</f>
        <v>#DIV/0!</v>
      </c>
      <c r="F65" s="6" t="s">
        <v>263</v>
      </c>
      <c r="G65" s="113" t="e">
        <f>IF(E65=0,0,IF(E65&lt;=0.35,"OK","!"))</f>
        <v>#DIV/0!</v>
      </c>
    </row>
    <row r="66" spans="1:12" ht="14.25" thickBot="1" x14ac:dyDescent="0.3">
      <c r="D66" s="64"/>
      <c r="E66" s="66"/>
      <c r="G66" s="265"/>
      <c r="L66" s="265"/>
    </row>
    <row r="67" spans="1:12" ht="16.5" x14ac:dyDescent="0.3">
      <c r="A67" s="275" t="s">
        <v>314</v>
      </c>
      <c r="B67" s="275"/>
      <c r="C67" s="275"/>
      <c r="D67" s="275"/>
      <c r="E67" s="275"/>
      <c r="F67" s="275"/>
      <c r="G67" s="275"/>
      <c r="H67" s="276"/>
      <c r="I67" s="275"/>
      <c r="L67" s="265"/>
    </row>
    <row r="68" spans="1:12" ht="16.5" x14ac:dyDescent="0.3">
      <c r="A68" s="118" t="s">
        <v>315</v>
      </c>
      <c r="B68" s="118"/>
      <c r="C68" s="118"/>
      <c r="D68" s="118"/>
      <c r="E68" s="118"/>
      <c r="F68" s="118"/>
      <c r="G68" s="118"/>
      <c r="H68" s="118"/>
      <c r="I68" s="124" t="str">
        <f>'CL_1 - Site Screening'!J73</f>
        <v>IDALS: Issue Date: 03/08/2021</v>
      </c>
      <c r="L68" s="265"/>
    </row>
    <row r="69" spans="1:12" x14ac:dyDescent="0.25">
      <c r="D69" s="113"/>
      <c r="E69" s="113"/>
    </row>
    <row r="70" spans="1:12" x14ac:dyDescent="0.25">
      <c r="D70" s="64" t="s">
        <v>262</v>
      </c>
      <c r="E70" s="67" t="e">
        <f>E61+E62+E65</f>
        <v>#VALUE!</v>
      </c>
    </row>
  </sheetData>
  <sheetProtection algorithmName="SHA-512" hashValue="TMTuYD3Mk2PjKQgiuJUi6xj8KDb4D5ag5E0gg7YBbqKSgFDixdtfoAugnjNlL3LqhVimUYF7K1yN9z6Qvcrfcg==" saltValue="Zo/6FROVGGQUwmXDyTHfpQ==" spinCount="100000" sheet="1" objects="1" scenarios="1" selectLockedCells="1"/>
  <mergeCells count="8">
    <mergeCell ref="K4:M4"/>
    <mergeCell ref="H18:I32"/>
    <mergeCell ref="C9:I9"/>
    <mergeCell ref="B1:G1"/>
    <mergeCell ref="B2:E2"/>
    <mergeCell ref="I15:I17"/>
    <mergeCell ref="H16:H17"/>
    <mergeCell ref="E5:F5"/>
  </mergeCells>
  <conditionalFormatting sqref="G60">
    <cfRule type="cellIs" dxfId="8" priority="6" operator="equal">
      <formula>"!"</formula>
    </cfRule>
    <cfRule type="cellIs" dxfId="7" priority="7" operator="equal">
      <formula>"OK"</formula>
    </cfRule>
  </conditionalFormatting>
  <conditionalFormatting sqref="G63:G68">
    <cfRule type="cellIs" dxfId="6" priority="4" operator="equal">
      <formula>"!"</formula>
    </cfRule>
    <cfRule type="cellIs" dxfId="5" priority="5" operator="equal">
      <formula>"OK"</formula>
    </cfRule>
  </conditionalFormatting>
  <conditionalFormatting sqref="G57:G58">
    <cfRule type="cellIs" dxfId="4" priority="1" operator="equal">
      <formula>"ED"</formula>
    </cfRule>
    <cfRule type="cellIs" dxfId="3" priority="2" operator="equal">
      <formula>"!"</formula>
    </cfRule>
    <cfRule type="cellIs" dxfId="2" priority="3" operator="equal">
      <formula>"OK"</formula>
    </cfRule>
  </conditionalFormatting>
  <printOptions horizontalCentered="1" verticalCentered="1"/>
  <pageMargins left="0.25" right="0.25" top="0.75" bottom="0.75" header="0.3" footer="0.3"/>
  <pageSetup scale="87"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I43"/>
  <sheetViews>
    <sheetView view="pageBreakPreview" zoomScaleNormal="100" zoomScaleSheetLayoutView="100" workbookViewId="0">
      <selection activeCell="D18" sqref="D18"/>
    </sheetView>
  </sheetViews>
  <sheetFormatPr defaultColWidth="8.85546875" defaultRowHeight="12.75" x14ac:dyDescent="0.2"/>
  <cols>
    <col min="1" max="1" width="12.7109375" style="80" customWidth="1"/>
    <col min="2" max="2" width="10.42578125" style="80" customWidth="1"/>
    <col min="3" max="3" width="9" style="80" customWidth="1"/>
    <col min="4" max="4" width="21.7109375" style="80" customWidth="1"/>
    <col min="5" max="6" width="18" style="80" customWidth="1"/>
    <col min="7" max="7" width="9" style="80" customWidth="1"/>
    <col min="8" max="8" width="10.28515625" style="80" customWidth="1"/>
    <col min="9" max="16384" width="8.85546875" style="80"/>
  </cols>
  <sheetData>
    <row r="1" spans="1:9" x14ac:dyDescent="0.2">
      <c r="A1" s="297" t="s">
        <v>244</v>
      </c>
      <c r="B1" s="297"/>
      <c r="C1" s="297"/>
      <c r="D1" s="297"/>
      <c r="E1" s="297"/>
      <c r="F1" s="297"/>
      <c r="G1" s="297"/>
      <c r="H1" s="29"/>
      <c r="I1" s="29"/>
    </row>
    <row r="2" spans="1:9" x14ac:dyDescent="0.2">
      <c r="A2" s="80" t="s">
        <v>176</v>
      </c>
      <c r="B2" s="313" t="str">
        <f>'CL_1 - Site Screening'!C3</f>
        <v>Project Name</v>
      </c>
      <c r="C2" s="313"/>
      <c r="D2" s="313"/>
      <c r="E2" s="313"/>
      <c r="F2" s="81">
        <f ca="1">'CL_1 - Site Screening'!G5</f>
        <v>44263</v>
      </c>
      <c r="G2" s="80" t="s">
        <v>182</v>
      </c>
    </row>
    <row r="3" spans="1:9" x14ac:dyDescent="0.2">
      <c r="A3" s="82" t="s">
        <v>181</v>
      </c>
      <c r="B3" s="82"/>
      <c r="C3" s="82"/>
      <c r="D3" s="82"/>
      <c r="E3" s="82"/>
      <c r="F3" s="82"/>
      <c r="G3" s="83"/>
    </row>
    <row r="5" spans="1:9" x14ac:dyDescent="0.2">
      <c r="A5" s="80" t="s">
        <v>100</v>
      </c>
    </row>
    <row r="7" spans="1:9" x14ac:dyDescent="0.2">
      <c r="A7" s="80" t="s">
        <v>81</v>
      </c>
      <c r="C7" s="84">
        <f>'DE_1 - Watershed Info'!C44</f>
        <v>1</v>
      </c>
      <c r="D7" s="80" t="s">
        <v>40</v>
      </c>
      <c r="E7" s="331" t="s">
        <v>278</v>
      </c>
      <c r="F7" s="331"/>
      <c r="G7" s="331"/>
    </row>
    <row r="9" spans="1:9" x14ac:dyDescent="0.2">
      <c r="A9" s="85" t="s">
        <v>161</v>
      </c>
      <c r="B9" s="85"/>
      <c r="C9" s="85"/>
      <c r="D9" s="85"/>
      <c r="E9" s="85"/>
      <c r="F9" s="85"/>
      <c r="G9" s="85"/>
    </row>
    <row r="10" spans="1:9" x14ac:dyDescent="0.2">
      <c r="B10" s="86"/>
      <c r="C10" s="86"/>
      <c r="D10" s="86"/>
      <c r="E10" s="86"/>
      <c r="F10" s="86"/>
      <c r="G10" s="86"/>
      <c r="H10" s="86"/>
    </row>
    <row r="11" spans="1:9" ht="30.6" customHeight="1" x14ac:dyDescent="0.2">
      <c r="A11" s="84" t="s">
        <v>89</v>
      </c>
      <c r="B11" s="87" t="s">
        <v>146</v>
      </c>
      <c r="C11" s="88" t="s">
        <v>147</v>
      </c>
      <c r="D11" s="89" t="s">
        <v>148</v>
      </c>
      <c r="E11" s="90" t="s">
        <v>149</v>
      </c>
      <c r="F11" s="91" t="s">
        <v>149</v>
      </c>
      <c r="G11" s="92"/>
      <c r="H11" s="93"/>
    </row>
    <row r="12" spans="1:9" x14ac:dyDescent="0.2">
      <c r="A12" s="94"/>
      <c r="B12" s="95" t="s">
        <v>150</v>
      </c>
      <c r="C12" s="96" t="s">
        <v>150</v>
      </c>
      <c r="D12" s="97" t="s">
        <v>151</v>
      </c>
      <c r="E12" s="98" t="s">
        <v>152</v>
      </c>
      <c r="F12" s="97" t="s">
        <v>153</v>
      </c>
      <c r="G12" s="92"/>
      <c r="H12" s="93"/>
    </row>
    <row r="13" spans="1:9" x14ac:dyDescent="0.2">
      <c r="A13" s="251" t="s">
        <v>90</v>
      </c>
      <c r="B13" s="88" t="str">
        <f>'Step 3 - Hydrology'!B37</f>
        <v>NA</v>
      </c>
      <c r="C13" s="264"/>
      <c r="D13" s="77"/>
      <c r="E13" s="78"/>
      <c r="F13" s="99" t="str">
        <f>IF(B13="NA","NA",12*E13/(C$7*43560))</f>
        <v>NA</v>
      </c>
      <c r="G13" s="92"/>
      <c r="H13" s="93"/>
    </row>
    <row r="14" spans="1:9" x14ac:dyDescent="0.2">
      <c r="A14" s="84" t="s">
        <v>154</v>
      </c>
      <c r="B14" s="88">
        <f>'Step 3 - Hydrology'!B38</f>
        <v>0</v>
      </c>
      <c r="C14" s="264"/>
      <c r="D14" s="77"/>
      <c r="E14" s="78"/>
      <c r="F14" s="99">
        <f>12*E14/(C$7*43560)</f>
        <v>0</v>
      </c>
      <c r="G14" s="92"/>
      <c r="H14" s="93"/>
    </row>
    <row r="15" spans="1:9" x14ac:dyDescent="0.2">
      <c r="A15" s="84" t="s">
        <v>155</v>
      </c>
      <c r="B15" s="88">
        <f>'Step 3 - Hydrology'!B39</f>
        <v>0</v>
      </c>
      <c r="C15" s="264"/>
      <c r="D15" s="77"/>
      <c r="E15" s="78"/>
      <c r="F15" s="99">
        <f t="shared" ref="F15:F20" si="0">12*E15/(C$7*43560)</f>
        <v>0</v>
      </c>
      <c r="G15" s="92"/>
      <c r="H15" s="93"/>
    </row>
    <row r="16" spans="1:9" x14ac:dyDescent="0.2">
      <c r="A16" s="84" t="s">
        <v>156</v>
      </c>
      <c r="B16" s="88">
        <f>'Step 3 - Hydrology'!B40</f>
        <v>0</v>
      </c>
      <c r="C16" s="264"/>
      <c r="D16" s="77"/>
      <c r="E16" s="78"/>
      <c r="F16" s="99">
        <f t="shared" si="0"/>
        <v>0</v>
      </c>
      <c r="G16" s="92"/>
      <c r="H16" s="93"/>
    </row>
    <row r="17" spans="1:8" x14ac:dyDescent="0.2">
      <c r="A17" s="84" t="s">
        <v>157</v>
      </c>
      <c r="B17" s="88">
        <f>'Step 3 - Hydrology'!B41</f>
        <v>0</v>
      </c>
      <c r="C17" s="264"/>
      <c r="D17" s="77"/>
      <c r="E17" s="78"/>
      <c r="F17" s="99">
        <f t="shared" si="0"/>
        <v>0</v>
      </c>
      <c r="G17" s="92"/>
      <c r="H17" s="93"/>
    </row>
    <row r="18" spans="1:8" x14ac:dyDescent="0.2">
      <c r="A18" s="84" t="s">
        <v>158</v>
      </c>
      <c r="B18" s="88">
        <f>'Step 3 - Hydrology'!B42</f>
        <v>0</v>
      </c>
      <c r="C18" s="264"/>
      <c r="D18" s="77"/>
      <c r="E18" s="78"/>
      <c r="F18" s="99">
        <f t="shared" si="0"/>
        <v>0</v>
      </c>
      <c r="G18" s="92"/>
      <c r="H18" s="93"/>
    </row>
    <row r="19" spans="1:8" x14ac:dyDescent="0.2">
      <c r="A19" s="84" t="s">
        <v>159</v>
      </c>
      <c r="B19" s="88">
        <f>'Step 3 - Hydrology'!B43</f>
        <v>0</v>
      </c>
      <c r="C19" s="264"/>
      <c r="D19" s="77"/>
      <c r="E19" s="78"/>
      <c r="F19" s="99">
        <f t="shared" si="0"/>
        <v>0</v>
      </c>
    </row>
    <row r="20" spans="1:8" x14ac:dyDescent="0.2">
      <c r="A20" s="84" t="s">
        <v>160</v>
      </c>
      <c r="B20" s="88">
        <f>'Step 3 - Hydrology'!B44</f>
        <v>0</v>
      </c>
      <c r="C20" s="264"/>
      <c r="D20" s="77"/>
      <c r="E20" s="78"/>
      <c r="F20" s="99">
        <f t="shared" si="0"/>
        <v>0</v>
      </c>
    </row>
    <row r="21" spans="1:8" x14ac:dyDescent="0.2">
      <c r="D21" s="100"/>
      <c r="E21" s="101"/>
    </row>
    <row r="22" spans="1:8" x14ac:dyDescent="0.2">
      <c r="A22" s="85" t="s">
        <v>245</v>
      </c>
      <c r="B22" s="85"/>
      <c r="C22" s="85"/>
      <c r="D22" s="85"/>
      <c r="E22" s="85"/>
      <c r="F22" s="85"/>
      <c r="G22" s="85"/>
    </row>
    <row r="23" spans="1:8" ht="38.25" x14ac:dyDescent="0.2">
      <c r="A23" s="84" t="s">
        <v>162</v>
      </c>
      <c r="B23" s="102" t="s">
        <v>163</v>
      </c>
      <c r="C23" s="102" t="s">
        <v>171</v>
      </c>
      <c r="D23" s="102" t="s">
        <v>172</v>
      </c>
      <c r="E23" s="102" t="s">
        <v>164</v>
      </c>
      <c r="F23" s="102" t="s">
        <v>279</v>
      </c>
      <c r="G23" s="102" t="s">
        <v>173</v>
      </c>
    </row>
    <row r="24" spans="1:8" x14ac:dyDescent="0.2">
      <c r="A24" s="84"/>
      <c r="B24" s="102"/>
      <c r="C24" s="103"/>
      <c r="D24" s="102" t="s">
        <v>165</v>
      </c>
      <c r="E24" s="102"/>
      <c r="F24" s="102"/>
    </row>
    <row r="25" spans="1:8" x14ac:dyDescent="0.2">
      <c r="A25" s="84"/>
      <c r="B25" s="84"/>
      <c r="C25" s="84" t="s">
        <v>166</v>
      </c>
      <c r="D25" s="84" t="s">
        <v>166</v>
      </c>
      <c r="E25" s="84"/>
      <c r="F25" s="84"/>
    </row>
    <row r="26" spans="1:8" x14ac:dyDescent="0.2">
      <c r="A26" s="94" t="s">
        <v>167</v>
      </c>
      <c r="B26" s="94" t="s">
        <v>41</v>
      </c>
      <c r="C26" s="94" t="s">
        <v>168</v>
      </c>
      <c r="D26" s="94" t="s">
        <v>169</v>
      </c>
      <c r="E26" s="94" t="s">
        <v>152</v>
      </c>
      <c r="F26" s="94" t="s">
        <v>152</v>
      </c>
      <c r="G26" s="83"/>
    </row>
    <row r="27" spans="1:8" x14ac:dyDescent="0.2">
      <c r="A27" s="251" t="s">
        <v>90</v>
      </c>
      <c r="B27" s="104" t="str">
        <f>IF(B13="NA","NA",F13/'Step 3 - Hydrology'!B18)</f>
        <v>NA</v>
      </c>
      <c r="C27" s="79"/>
      <c r="D27" s="105" t="str">
        <f>IF(B27="NA","NA",1-C13/'Step 3 - Hydrology'!G18)</f>
        <v>NA</v>
      </c>
      <c r="E27" s="106" t="str">
        <f>'Step 3 - Hydrology'!G37</f>
        <v>NA</v>
      </c>
      <c r="F27" s="106" t="str">
        <f>IF(B13="NA","NA",E13)</f>
        <v>NA</v>
      </c>
      <c r="G27" s="107" t="str">
        <f>IF(B13="NA","NA",F27/E27)</f>
        <v>NA</v>
      </c>
    </row>
    <row r="28" spans="1:8" x14ac:dyDescent="0.2">
      <c r="A28" s="84" t="s">
        <v>170</v>
      </c>
      <c r="B28" s="104" t="e">
        <f>F14/'Step 3 - Hydrology'!B19</f>
        <v>#DIV/0!</v>
      </c>
      <c r="C28" s="79"/>
      <c r="D28" s="105" t="e">
        <f>1-C14/'Step 3 - Hydrology'!G19</f>
        <v>#DIV/0!</v>
      </c>
      <c r="E28" s="106" t="e">
        <f>'Step 3 - Hydrology'!G38</f>
        <v>#DIV/0!</v>
      </c>
      <c r="F28" s="106">
        <f>E14</f>
        <v>0</v>
      </c>
      <c r="G28" s="107" t="e">
        <f>F28/E28</f>
        <v>#DIV/0!</v>
      </c>
    </row>
    <row r="29" spans="1:8" x14ac:dyDescent="0.2">
      <c r="A29" s="84" t="s">
        <v>155</v>
      </c>
      <c r="B29" s="104" t="e">
        <f>F15/'Step 3 - Hydrology'!B20</f>
        <v>#DIV/0!</v>
      </c>
      <c r="C29" s="79"/>
      <c r="D29" s="105" t="e">
        <f>1-C15/'Step 3 - Hydrology'!G20</f>
        <v>#DIV/0!</v>
      </c>
      <c r="E29" s="106" t="e">
        <f>'Step 3 - Hydrology'!G39</f>
        <v>#DIV/0!</v>
      </c>
      <c r="F29" s="106">
        <f>E15</f>
        <v>0</v>
      </c>
      <c r="G29" s="107" t="e">
        <f t="shared" ref="G29:G34" si="1">F29/E29</f>
        <v>#DIV/0!</v>
      </c>
    </row>
    <row r="30" spans="1:8" x14ac:dyDescent="0.2">
      <c r="A30" s="84" t="s">
        <v>156</v>
      </c>
      <c r="B30" s="104" t="e">
        <f>F16/'Step 3 - Hydrology'!B21</f>
        <v>#DIV/0!</v>
      </c>
      <c r="C30" s="79"/>
      <c r="D30" s="105" t="e">
        <f>1-C16/'Step 3 - Hydrology'!G21</f>
        <v>#DIV/0!</v>
      </c>
      <c r="E30" s="106" t="e">
        <f>'Step 3 - Hydrology'!G40</f>
        <v>#DIV/0!</v>
      </c>
      <c r="F30" s="106">
        <f>E16</f>
        <v>0</v>
      </c>
      <c r="G30" s="107" t="e">
        <f t="shared" si="1"/>
        <v>#DIV/0!</v>
      </c>
    </row>
    <row r="31" spans="1:8" x14ac:dyDescent="0.2">
      <c r="A31" s="84" t="s">
        <v>157</v>
      </c>
      <c r="B31" s="104" t="e">
        <f>F17/'Step 3 - Hydrology'!B22</f>
        <v>#DIV/0!</v>
      </c>
      <c r="C31" s="79"/>
      <c r="D31" s="105" t="e">
        <f>1-C17/'Step 3 - Hydrology'!G22</f>
        <v>#DIV/0!</v>
      </c>
      <c r="E31" s="106" t="e">
        <f>'Step 3 - Hydrology'!G41</f>
        <v>#DIV/0!</v>
      </c>
      <c r="F31" s="106">
        <f>E17</f>
        <v>0</v>
      </c>
      <c r="G31" s="107" t="e">
        <f t="shared" si="1"/>
        <v>#DIV/0!</v>
      </c>
    </row>
    <row r="32" spans="1:8" x14ac:dyDescent="0.2">
      <c r="A32" s="84" t="s">
        <v>158</v>
      </c>
      <c r="B32" s="104" t="e">
        <f>F18/'Step 3 - Hydrology'!B23</f>
        <v>#DIV/0!</v>
      </c>
      <c r="C32" s="79"/>
      <c r="D32" s="105" t="e">
        <f>1-C18/'Step 3 - Hydrology'!G23</f>
        <v>#DIV/0!</v>
      </c>
      <c r="E32" s="106" t="e">
        <f>'Step 3 - Hydrology'!G42</f>
        <v>#DIV/0!</v>
      </c>
      <c r="F32" s="106">
        <f t="shared" ref="F32:F34" si="2">E18</f>
        <v>0</v>
      </c>
      <c r="G32" s="107" t="e">
        <f t="shared" si="1"/>
        <v>#DIV/0!</v>
      </c>
    </row>
    <row r="33" spans="1:9" x14ac:dyDescent="0.2">
      <c r="A33" s="84" t="s">
        <v>159</v>
      </c>
      <c r="B33" s="104" t="e">
        <f>F19/'Step 3 - Hydrology'!B24</f>
        <v>#DIV/0!</v>
      </c>
      <c r="C33" s="79"/>
      <c r="D33" s="105" t="e">
        <f>1-C19/'Step 3 - Hydrology'!G24</f>
        <v>#DIV/0!</v>
      </c>
      <c r="E33" s="106" t="e">
        <f>'Step 3 - Hydrology'!G43</f>
        <v>#DIV/0!</v>
      </c>
      <c r="F33" s="106">
        <f t="shared" si="2"/>
        <v>0</v>
      </c>
      <c r="G33" s="107" t="e">
        <f t="shared" si="1"/>
        <v>#DIV/0!</v>
      </c>
    </row>
    <row r="34" spans="1:9" x14ac:dyDescent="0.2">
      <c r="A34" s="84" t="s">
        <v>160</v>
      </c>
      <c r="B34" s="104" t="e">
        <f>F20/'Step 3 - Hydrology'!B25</f>
        <v>#DIV/0!</v>
      </c>
      <c r="C34" s="79"/>
      <c r="D34" s="105" t="e">
        <f>1-C20/'Step 3 - Hydrology'!G25</f>
        <v>#DIV/0!</v>
      </c>
      <c r="E34" s="106" t="e">
        <f>'Step 3 - Hydrology'!G44</f>
        <v>#DIV/0!</v>
      </c>
      <c r="F34" s="106">
        <f t="shared" si="2"/>
        <v>0</v>
      </c>
      <c r="G34" s="107" t="e">
        <f t="shared" si="1"/>
        <v>#DIV/0!</v>
      </c>
    </row>
    <row r="35" spans="1:9" ht="13.5" x14ac:dyDescent="0.25">
      <c r="A35" s="54" t="s">
        <v>174</v>
      </c>
      <c r="B35" s="108"/>
      <c r="C35" s="101"/>
      <c r="D35" s="107"/>
      <c r="E35" s="109"/>
      <c r="F35" s="110"/>
      <c r="G35" s="106"/>
      <c r="H35" s="106"/>
    </row>
    <row r="36" spans="1:9" ht="13.5" x14ac:dyDescent="0.25">
      <c r="A36" s="54"/>
      <c r="B36" s="108"/>
      <c r="C36" s="101"/>
      <c r="D36" s="107"/>
      <c r="E36" s="109"/>
      <c r="F36" s="110"/>
      <c r="G36" s="106"/>
      <c r="H36" s="106"/>
    </row>
    <row r="37" spans="1:9" ht="13.5" x14ac:dyDescent="0.25">
      <c r="A37" s="54"/>
      <c r="B37" s="108"/>
      <c r="C37" s="101"/>
      <c r="D37" s="107"/>
      <c r="E37" s="109"/>
      <c r="F37" s="110"/>
      <c r="G37" s="106"/>
      <c r="H37" s="106"/>
    </row>
    <row r="38" spans="1:9" ht="13.5" x14ac:dyDescent="0.25">
      <c r="A38" s="54"/>
      <c r="B38" s="108"/>
      <c r="C38" s="101"/>
      <c r="D38" s="107"/>
      <c r="E38" s="109"/>
      <c r="F38" s="110"/>
      <c r="G38" s="106"/>
      <c r="H38" s="106"/>
    </row>
    <row r="39" spans="1:9" ht="13.5" x14ac:dyDescent="0.25">
      <c r="A39" s="54"/>
      <c r="B39" s="108"/>
      <c r="C39" s="101"/>
      <c r="D39" s="107"/>
      <c r="E39" s="109"/>
      <c r="F39" s="110"/>
      <c r="G39" s="106"/>
      <c r="H39" s="106"/>
    </row>
    <row r="40" spans="1:9" ht="13.5" x14ac:dyDescent="0.25">
      <c r="A40" s="54"/>
      <c r="B40" s="108"/>
      <c r="C40" s="101"/>
      <c r="D40" s="107"/>
      <c r="E40" s="109"/>
      <c r="F40" s="110"/>
      <c r="G40" s="106"/>
      <c r="H40" s="106"/>
    </row>
    <row r="41" spans="1:9" ht="17.25" thickBot="1" x14ac:dyDescent="0.35">
      <c r="A41" s="123"/>
      <c r="B41" s="271"/>
      <c r="C41" s="272"/>
      <c r="D41" s="141"/>
      <c r="E41" s="273"/>
      <c r="F41" s="274"/>
      <c r="G41" s="136"/>
      <c r="H41" s="106"/>
    </row>
    <row r="42" spans="1:9" ht="16.5" x14ac:dyDescent="0.3">
      <c r="A42" s="275" t="s">
        <v>316</v>
      </c>
      <c r="B42" s="275"/>
      <c r="C42" s="275"/>
      <c r="D42" s="275"/>
      <c r="E42" s="275"/>
      <c r="F42" s="275"/>
      <c r="G42" s="275"/>
      <c r="H42" s="106"/>
      <c r="I42" s="6"/>
    </row>
    <row r="43" spans="1:9" ht="16.5" x14ac:dyDescent="0.3">
      <c r="A43" s="118" t="s">
        <v>317</v>
      </c>
      <c r="B43" s="118"/>
      <c r="C43" s="118"/>
      <c r="D43" s="118"/>
      <c r="E43" s="118"/>
      <c r="F43" s="118"/>
      <c r="G43" s="124" t="str">
        <f>'CL_1 - Site Screening'!J73</f>
        <v>IDALS: Issue Date: 03/08/2021</v>
      </c>
      <c r="H43" s="6"/>
    </row>
  </sheetData>
  <sheetProtection algorithmName="SHA-512" hashValue="aL6EBEdSLxaS3BuvPyGaeiBBfmoyWTvV3XG9liGrQodc/kUwwuXBEqeyWCyifZYfTlp0I4hADA+wx5hzMtLefw==" saltValue="4yXHHcZNTRgONQqgZldwEw==" spinCount="100000" sheet="1" objects="1" scenarios="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Greg Pierce</cp:lastModifiedBy>
  <cp:lastPrinted>2020-06-18T16:45:42Z</cp:lastPrinted>
  <dcterms:created xsi:type="dcterms:W3CDTF">2017-07-05T15:47:13Z</dcterms:created>
  <dcterms:modified xsi:type="dcterms:W3CDTF">2021-03-08T17:53:26Z</dcterms:modified>
</cp:coreProperties>
</file>